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irezionicentrali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</calcChain>
</file>

<file path=xl/sharedStrings.xml><?xml version="1.0" encoding="utf-8"?>
<sst xmlns="http://schemas.openxmlformats.org/spreadsheetml/2006/main" count="2159" uniqueCount="952">
  <si>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</si>
  <si>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</si>
  <si>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</si>
  <si>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</si>
  <si>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</si>
  <si>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</si>
  <si>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</si>
  <si>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</si>
  <si>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</si>
  <si>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</si>
  <si>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</si>
  <si>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</si>
  <si>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</si>
  <si>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</si>
  <si>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</si>
  <si>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</si>
  <si>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Amministrazione, Pianificazione e Controllo</t>
  </si>
  <si>
    <t>Adesione Convenzione Consip Telefonia Fissa 5</t>
  </si>
  <si>
    <t>26-AFFIDAMENTO DIRETTO IN ADESIONE AD ACCORDO QUADRO/CONVENZIONE</t>
  </si>
  <si>
    <t xml:space="preserve">FASTWEB S.P.A. (CF: 12878470157)
</t>
  </si>
  <si>
    <t>FASTWEB S.P.A. (CF: 12878470157)</t>
  </si>
  <si>
    <t>Adesione Convenzione Consip Telefonia Mobile 7</t>
  </si>
  <si>
    <t xml:space="preserve">TELECOM ITALIA S.P.A. (CF: 00488410010)
</t>
  </si>
  <si>
    <t>TELECOM ITALIA S.P.A. (CF: 00488410010)</t>
  </si>
  <si>
    <t>Servizi telefonia mobile</t>
  </si>
  <si>
    <t>Energia elettrica 11 - Colombo - giorgione -Licini</t>
  </si>
  <si>
    <t xml:space="preserve">GALA SPA (CF: 06832931007)
</t>
  </si>
  <si>
    <t>GALA SPA (CF: 06832931007)</t>
  </si>
  <si>
    <t>Fotocopiatore TaskAlfa 4551</t>
  </si>
  <si>
    <t xml:space="preserve">KYOCERA DOCUMENT SOLUTION ITALIA SPA (CF: 01788080156)
</t>
  </si>
  <si>
    <t>KYOCERA DOCUMENT SOLUTION ITALIA SPA (CF: 01788080156)</t>
  </si>
  <si>
    <t>Utenza elettrica Giorgione Colombo e Licini</t>
  </si>
  <si>
    <t>Noleggio autovettura di servizio</t>
  </si>
  <si>
    <t xml:space="preserve">ALD AUTOMOTIVE ITALIA S.R.L. (CF: 07978810583)
</t>
  </si>
  <si>
    <t>ALD AUTOMOTIVE ITALIA S.R.L. (CF: 07978810583)</t>
  </si>
  <si>
    <t>Noleggio autovettura Veneto</t>
  </si>
  <si>
    <t>Utenze Colombo Giorgione Licini</t>
  </si>
  <si>
    <t>Noleggio autovettura</t>
  </si>
  <si>
    <t>Noleggio fotocopiatore</t>
  </si>
  <si>
    <t>HOTEL MARGHERITA - CONVENZIONE</t>
  </si>
  <si>
    <t>23-AFFIDAMENTO DIRETTO</t>
  </si>
  <si>
    <t xml:space="preserve">HOTEL REGINA MARGHERITA S.R.L. (CF: 02778560926)
</t>
  </si>
  <si>
    <t>HOTEL REGINA MARGHERITA S.R.L. (CF: 02778560926)</t>
  </si>
  <si>
    <t xml:space="preserve">CONVERGE S.P.A. (CF: 04472901000)
</t>
  </si>
  <si>
    <t>CONVERGE S.P.A. (CF: 04472901000)</t>
  </si>
  <si>
    <t>Gas Naturale Colombo</t>
  </si>
  <si>
    <t xml:space="preserve">ESTRA ENERGIE SRL (CF: 01219980529)
</t>
  </si>
  <si>
    <t>ESTRA ENERGIE SRL (CF: 01219980529)</t>
  </si>
  <si>
    <t>Noleggio fotocopiatori</t>
  </si>
  <si>
    <t>Servizi di connettivitÃ  e di interoperabilitÃ  SPC 2</t>
  </si>
  <si>
    <t>Noleggio 6 Fotocopiatori - sede Colombo</t>
  </si>
  <si>
    <t>Noleggio 2 Fotocopiatori - sede Colombo</t>
  </si>
  <si>
    <t>Servizio di traduzione degli atti di natura giuridico-fiscale dell'Agenzia</t>
  </si>
  <si>
    <t>04-PROCEDURA NEGOZIATA SENZA PREVIA PUBBLICAZIONE</t>
  </si>
  <si>
    <t xml:space="preserve">ACTIVE LANGUAGES SRL (CF: 03409990243)
AUTHENTIC ENTERPRISE SOLUTIONS SRL (CF: 09342931004)
BLOOMSBURY SRL (CF: 02119640684)
KAEDRA SRL (CF: 03236850248)
LEXIS SRL (CF: 03916280484)
</t>
  </si>
  <si>
    <t>AUTHENTIC ENTERPRISE SOLUTIONS SRL (CF: 09342931004)</t>
  </si>
  <si>
    <t>Noleggio TaskAlfa 3510i</t>
  </si>
  <si>
    <t>Attivazione e funzionamento di n. 1 posizione di Dottorato di Ricerca con percorso Executive - XXXIII ciclo - a.a. 2017/2018</t>
  </si>
  <si>
    <t xml:space="preserve">UNIVERSITA' DEGLI STUDI DI MILANO - BICOCCA (CF: 12621570154)
</t>
  </si>
  <si>
    <t>UNIVERSITA' DEGLI STUDI DI MILANO - BICOCCA (CF: 12621570154)</t>
  </si>
  <si>
    <t>Fotoriproduzione, rilegatura e plastificazione per gli Uffici Centrali</t>
  </si>
  <si>
    <t xml:space="preserve">BLIXEN SRL (CF: 06864221004)
BORRELLO CENTRO SERVIZI SRL (CF: 04298101009)
HUGE GROUP SRL (CF: 13533521004)
NEW ALFATEL 2002 SRL (CF: 07235031007)
TEKNOMATICA SRL (CF: 10563681005)
</t>
  </si>
  <si>
    <t>BORRELLO CENTRO SERVIZI SRL (CF: 04298101009)</t>
  </si>
  <si>
    <t>Servizio di spurgo, smaltimento e video ispezione da effettuarsi presso le strutture centrali dell'Agenzia</t>
  </si>
  <si>
    <t xml:space="preserve">ECOLSERVIZI APRILIA SRL (CF: 01540220595)
F.LLI ZAPPETTINI S.R.L. (CF: 01657860167)
G.D. MULTISERVICE SRL (CF: 02124820560)
LA PULITRICE SRL (CF: 01345600561)
SEA SUD S.R.L. (CF: 01953771001)
</t>
  </si>
  <si>
    <t>ECOLSERVIZI APRILIA SRL (CF: 01540220595)</t>
  </si>
  <si>
    <t>Buoni pasto elettronici per DC</t>
  </si>
  <si>
    <t xml:space="preserve">DAY RISTOSERVICE S.P.A. (CF: 03543000370)
</t>
  </si>
  <si>
    <t>DAY RISTOSERVICE S.P.A. (CF: 03543000370)</t>
  </si>
  <si>
    <t>Copertura assicurativa - Lotto I (Infortuni/Kasko)</t>
  </si>
  <si>
    <t>01-PROCEDURA APERTA</t>
  </si>
  <si>
    <t xml:space="preserve">UNIPOLSAI ASSICURAZIONI SPA (CF: 00818570012)
</t>
  </si>
  <si>
    <t>UNIPOLSAI ASSICURAZIONI SPA (CF: 00818570012)</t>
  </si>
  <si>
    <t>Copertura assicurativa - Lotto II RCT/RCO</t>
  </si>
  <si>
    <t xml:space="preserve">GENERALI ITALIA S.P.A. (CF: 00409920584)
HDI ASSICURAZIONI S.P.A. (CF: 04349061004)
ITAS MUTUA (CF: 00110750221)
NOBIS COMPAGNIA DI ASSICURAZIONI SPA (CF: 01757980923)
UNIPOLSAI ASSICURAZIONI SPA (CF: 00818570012)
</t>
  </si>
  <si>
    <t>GENERALI ITALIA S.P.A. (CF: 00409920584)</t>
  </si>
  <si>
    <t>Copertura assicurativa - Lotto III All risks</t>
  </si>
  <si>
    <t xml:space="preserve">AXA ASSICURAZIONI S.P.A (CF: 00902170018)
GENERALI ITALIA S.P.A. (CF: 00409920584)
HELVETIA COMPAGNIA SVIZZERA D'ASSICURAZIONI SA (CF: 01462690155)
ITAS MUTUA (CF: 00110750221)
UNIPOLSAI ASSICURAZIONI SPA (CF: 00818570012)
</t>
  </si>
  <si>
    <t>Servizio di web hosting e housing del sito internet fiscoggi.it</t>
  </si>
  <si>
    <t xml:space="preserve">ARUBA SPA (CF: 04552920482)
ITNET SRL (CF: 03458800103)
PA DIGITALE ADRIATICA SRL (CF: 01647100708)
SEEWEB SRL (CF: 02043220603)
UNIDATA SPA (CF: 06187081002)
</t>
  </si>
  <si>
    <t>ARUBA SPA (CF: 04552920482)</t>
  </si>
  <si>
    <t>Servizio di erogazione e consultazione di sistemi documentali giuridici online nelle materie fiscali, bilancio e legale attraverso il portale intranet dell'Agenzia</t>
  </si>
  <si>
    <t xml:space="preserve">BUREAU VAN DIJK EDIZIONI ELETTRONICHE SPA (CF: 11139860156)
DATABANK SRL (CF: 02846140925)
EDITRICE S.I.F.I.C SRL (CF: 00205740426)
LADYBIRD SRL (CF: 10816460017)
WOLTERS KLUWER ITALIA SRL (CF: 10209790152)
</t>
  </si>
  <si>
    <t>WOLTERS KLUWER ITALIA SRL (CF: 10209790152)</t>
  </si>
  <si>
    <t>Fornitura di carte a microcircuito per la gestione dei sistemi di biglietteria automatizzata per l'emissione di titoli di accesso alle attivitÃ  di intrattenimento e spettacolistiche</t>
  </si>
  <si>
    <t xml:space="preserve">BIT4ID S.R.L. (CF: 04741241212)
DALCOPY S.R.L. (CF: 02396510790)
DPS INFORMATICA S.N.C. DI PRESELLO GIANNI &amp; C. (CF: 01486330309)
F.LLI SISOFO SRL (CF: 01994380689)
STILGRAFIX ITALIANA S.P.A. (CF: 03103490482)
</t>
  </si>
  <si>
    <t>BIT4ID S.R.L. (CF: 04741241212)</t>
  </si>
  <si>
    <t>Noleggio multifunzione TASKalfa 3511i</t>
  </si>
  <si>
    <t>Cancelleria per Direzioni Centrali</t>
  </si>
  <si>
    <t xml:space="preserve">BUYTECH GROUP SRL (CF: 11623781009)
CARTO COPY SERVICE (CF: 04864781002)
LA PITAGORA DI MACRELLI GIANCARLO (CF: MCRGCR46H14Z130X)
NOBODY S.R.L. (CF: 01790230435)
VACCARINI UFFICIO SRL (CF: 02177910425)
</t>
  </si>
  <si>
    <t>LA PITAGORA DI MACRELLI GIANCARLO (CF: MCRGCR46H14Z130X)</t>
  </si>
  <si>
    <t>Manutenzione autoveicoli in dotazione alle sedi centrali</t>
  </si>
  <si>
    <t xml:space="preserve">ROMANA SERVICE AUTO SRL (CF: 04080451000)
SUPERWASH SRL (CF: 07228081001)
</t>
  </si>
  <si>
    <t>SUPERWASH SRL (CF: 07228081001)</t>
  </si>
  <si>
    <t>Carte di Credito</t>
  </si>
  <si>
    <t xml:space="preserve">NEXI PAYMENTS S.P.A. (GIÃ  CARTASI SPA) (CF: 04107060966)
</t>
  </si>
  <si>
    <t>NEXI PAYMENTS S.P.A. (GIÃ  CARTASI SPA) (CF: 04107060966)</t>
  </si>
  <si>
    <t>Gestione integrata della salute e sicurezza luoghi di lavoro (subentro Gi ONE Spa)</t>
  </si>
  <si>
    <t xml:space="preserve">EXITONE S.P.A. (CF: 07874490019)
</t>
  </si>
  <si>
    <t>EXITONE S.P.A. (CF: 07874490019)</t>
  </si>
  <si>
    <t>Abbonamento a Bloomberg professional per Ufficio Indagini e controlli</t>
  </si>
  <si>
    <t xml:space="preserve">BLOOMBERG FINANCE LP (CF: 12162160159)
</t>
  </si>
  <si>
    <t>BLOOMBERG FINANCE LP (CF: 12162160159)</t>
  </si>
  <si>
    <t>Fornitura energia elettrica 2018-2019 per sede Largo Leopardi</t>
  </si>
  <si>
    <t xml:space="preserve">ENEL ENERGIA SPA (CF: 06655971007)
</t>
  </si>
  <si>
    <t>ENEL ENERGIA SPA (CF: 06655971007)</t>
  </si>
  <si>
    <t>Manutenzione aree a verde Direzioni Centrali</t>
  </si>
  <si>
    <t xml:space="preserve">RAGGRUPPAMENTO:
- GE.CO.S. SRL (CF: 07554601000) Ruolo: 02-MANDATARIA
- IPOMAGI SRL (CF: 05182860584) Ruolo: 01-MANDANTE
AMBI-ECO S.R.L. (CF: 03172380408)
BRA SERVIZI SRL (CF: 02128000045)
ECO TRANS SRL (CF: 01813851209)
G.K.S. S.R.L. (CF: 01158780013)
</t>
  </si>
  <si>
    <t xml:space="preserve">RAGGRUPPAMENTO:
- GE.CO.S. SRL (CF: 07554601000) Ruolo: 02-MANDATARIA
- IPOMAGI SRL (CF: 05182860584) Ruolo: 01-MANDANTE
</t>
  </si>
  <si>
    <t>Concessione del servizio di ristorazione a ridotto impatto ambientale nelle mense degli uffici centrali</t>
  </si>
  <si>
    <t xml:space="preserve">RAGGRUPPAMENTO:
- VEGEZIO SRL (CF: 00461410631) Ruolo: 02-MANDATARIA
- CAPITAL SRL (CF: 07684841211) Ruolo: 01-MANDANTE
ELIOR RISTORAZIONE SPA (CF: 08746440018)
EP SPA (CF: 05577471005)
RI.CA S.R.L. (CF: 02787771217)
SERENISSIMA RISTORAZIONE SPA (CF: 01617950249)
</t>
  </si>
  <si>
    <t>SERENISSIMA RISTORAZIONE SPA (CF: 01617950249)</t>
  </si>
  <si>
    <t>Servizi di facchinaggio, trasporto e trasloco a ridotto impianto ambientale - Lotto 2 Lombardia</t>
  </si>
  <si>
    <t xml:space="preserve">CO.LA.COOP. CONSORZIO LAZIALE COOPERATIVE (CF: 06594220581)
IL RISVEGLIO SOC COOP.SOCIALE ARL (CF: 12018841002)
ROSSI TRANSWORLD S.A.S. (CF: 05198491002)
SCALA ENTERPRISE S.R.L. (CF: 05594340639)
UNILABOR SCARL (CF: 03632650242)
</t>
  </si>
  <si>
    <t>IL RISVEGLIO SOC COOP.SOCIALE ARL (CF: 12018841002)</t>
  </si>
  <si>
    <t>Noleggio veicolo commerciale Ducato Furgone 28 CH1 2.0 MJT 16v 115CV E6 DR Piemonte</t>
  </si>
  <si>
    <t xml:space="preserve">LEASYS S.P.A (CF: 08083020019)
</t>
  </si>
  <si>
    <t>LEASYS S.P.A (CF: 08083020019)</t>
  </si>
  <si>
    <t>Noleggio veicolo Fiat Tipo 4 porte 1.6 mjt 120 cv Easy My '18 DR Lombardia</t>
  </si>
  <si>
    <t>Noleggio veicolo Fiat Tipo 4 porte 1.6 mjt 120 cv Easy My '18 DR Emila Romagna</t>
  </si>
  <si>
    <t>Noleggio veicolo Fiat Tipo 4 porte 1.6 mjt 120 cv Easy My '18 DR Veneto</t>
  </si>
  <si>
    <t>Noleggio veicolo Fiat Tipo 4 porte 1.6 mjt 120 cv Easy My '18 DR Piemonte</t>
  </si>
  <si>
    <t>Noleggio e assistenza antenna parabolica necessaria alla ricezione dei notiziari di Agenzia di stampa ANSA nellâ€™anno 2019</t>
  </si>
  <si>
    <t xml:space="preserve">ANSA AGENZIA NAZIONALE STAMPA ASSOCIATA SOCIETA' COOPERATIVA (CF: 00391130580)
</t>
  </si>
  <si>
    <t>ANSA AGENZIA NAZIONALE STAMPA ASSOCIATA SOCIETA' COOPERATIVA (CF: 00391130580)</t>
  </si>
  <si>
    <t>Polizza assicurativa per funzionari in missione allâ€™estero</t>
  </si>
  <si>
    <t xml:space="preserve">AIG EUROPE LIMITED (CF: 08037550962)
</t>
  </si>
  <si>
    <t>AIG EUROPE LIMITED (CF: 08037550962)</t>
  </si>
  <si>
    <t>Servizio di biglietteria ed, occasionalmente, di prenotazione alberghiera per i viaggi di missione dei dipendenti dell'Agenzia</t>
  </si>
  <si>
    <t xml:space="preserve">CISALPINA TOURS S.P.A. (CF: 00637950015)
EUGENIO CONTI SRL (CF: 00394860589)
UVET AMERICAN EXPRESS CORPORATE TRAVEL S.P.A. (CF: 03227380965)
</t>
  </si>
  <si>
    <t>EUGENIO CONTI SRL (CF: 00394860589)</t>
  </si>
  <si>
    <t>HOTEL SAN GIORGIO - CONVENZIONE</t>
  </si>
  <si>
    <t>03-PROCEDURA NEGOZIATA PREVIA PUBBLICAZIONE</t>
  </si>
  <si>
    <t xml:space="preserve">EDEN S.R.L. (CF: 00179760707)
</t>
  </si>
  <si>
    <t>EDEN S.R.L. (CF: 00179760707)</t>
  </si>
  <si>
    <t>Convenzione alberghiera</t>
  </si>
  <si>
    <t xml:space="preserve">TURIS.MAR.PI SRL (CF: 01776440586)
</t>
  </si>
  <si>
    <t>TURIS.MAR.PI SRL (CF: 01776440586)</t>
  </si>
  <si>
    <t>Utenze elettriche - mercato di salvaguardia</t>
  </si>
  <si>
    <t xml:space="preserve">HERA COMM (CF: 02221101203)
</t>
  </si>
  <si>
    <t>HERA COMM (CF: 02221101203)</t>
  </si>
  <si>
    <t>Abbonamenti a pubblicazioni</t>
  </si>
  <si>
    <t xml:space="preserve">IL SOLE 24ORE S.P.A. (CF: 00777910159)
</t>
  </si>
  <si>
    <t>IL SOLE 24ORE S.P.A. (CF: 00777910159)</t>
  </si>
  <si>
    <t>Servizio di trasporto per il personale in servizio presso gli Uffici Centrali dell'Agenzia delle Entrate</t>
  </si>
  <si>
    <t xml:space="preserve">CORSI &amp; PAMPANELLI AUTOLINEE SNC (CF: 00117970608)
FRANCO VIAGGI SRL (CF: 02207290046)
IANNUCCI SRL (CF: 01874800608)
LUNA PARK SRL (CF: 02498430608)
ROSSI BUS SPA (CF: 07119341001)
</t>
  </si>
  <si>
    <t>CORSI &amp; PAMPANELLI AUTOLINEE SNC (CF: 00117970608)</t>
  </si>
  <si>
    <t>Fornitura energia elettrica da fonte rinnovabile stagione 2019- 2020 - Uffici Centrali</t>
  </si>
  <si>
    <t>Fornitura e consegna di quotidiani e riviste per le sedi centrali dell'Agenzia</t>
  </si>
  <si>
    <t xml:space="preserve">GIADRI SAS DI SCIFONI ADRIANO (CF: 06214521004)
</t>
  </si>
  <si>
    <t>GIADRI SAS DI SCIFONI ADRIANO (CF: 06214521004)</t>
  </si>
  <si>
    <t>Fornitura di libri e pubblicazioni destinati alle sedi centrali</t>
  </si>
  <si>
    <t xml:space="preserve">110 E LODE DI TRAMENTOZZI MARCO &amp; C SNC (CF: 05482151007)
LIBRERIA DE MIRANDA DI M.P. DE MIRANDA (CF: 02933540581)
LIBRERIA FORENSE DI MONTEMAGGIORI CLAUDIA (CF: MNTCLD66R68H501Y)
</t>
  </si>
  <si>
    <t>LIBRERIA FORENSE DI MONTEMAGGIORI CLAUDIA (CF: MNTCLD66R68H501Y)</t>
  </si>
  <si>
    <t>Polizza assicurazione della responsabilitÃ  professionale dei progettisti dipendenti dell'Agenzia</t>
  </si>
  <si>
    <t xml:space="preserve">ASSIGECO SRL (CF: 08958920152)
</t>
  </si>
  <si>
    <t>ASSIGECO SRL (CF: 08958920152)</t>
  </si>
  <si>
    <t>Fornitura delle infrastrutture multimediali per n. 3 sale riunioni</t>
  </si>
  <si>
    <t xml:space="preserve">ACUSON S.R.L. (CF: 02198210011)
DELTA TECNO STUDIO SRL (CF: 10899161003)
DUEPIGRECOERRE SRL (CF: 07507741002)
FASTWEB S.P.A. (CF: 12878470157)
TELECOM ITALIA S.P.A. (CF: 00488410010)
</t>
  </si>
  <si>
    <t>DELTA TECNO STUDIO SRL (CF: 10899161003)</t>
  </si>
  <si>
    <t>Gas Naturale stagione 2019-2020 sede centrale Cristoforo Colombo</t>
  </si>
  <si>
    <t>Copertura assicurativa (Errors &amp; Omissions) dell'Agenzia delle Entrate</t>
  </si>
  <si>
    <t xml:space="preserve">AIG EUROPE S.A. RAPPRESENTANZA GENERALE PER Lâ€™ITALIA (CF: 97819940152)
</t>
  </si>
  <si>
    <t>AIG EUROPE S.A. RAPPRESENTANZA GENERALE PER Lâ€™ITALIA (CF: 97819940152)</t>
  </si>
  <si>
    <t>MERCURE SIRACUSA PROMETEO HOTEL - CONVENZIONE</t>
  </si>
  <si>
    <t xml:space="preserve">TRE GI TOUR S.R.L. (CF: 01215210897)
</t>
  </si>
  <si>
    <t>TRE GI TOUR S.R.L. (CF: 01215210897)</t>
  </si>
  <si>
    <t>Servizio di supporto di conoscenza sull'innovazione tecnologica e accesso a banche dati</t>
  </si>
  <si>
    <t xml:space="preserve">GARTNER ITALIA SRL (CF: 09757660155)
</t>
  </si>
  <si>
    <t>GARTNER ITALIA SRL (CF: 09757660155)</t>
  </si>
  <si>
    <t>Conduzione e manutenzione degli impianti antincendio per le sedi centrali</t>
  </si>
  <si>
    <t xml:space="preserve">CABLE SISTEMI SRL (CF: 10803761005)
CECCONI SRL (CF: 00999170426)
CONTROLSECURITY SISTEMI DI SICUREZZA SRL (CF: 05187291009)
MAULINI SRL (CF: 01315840551)
TECNO ANTONELLI S.R.L. (CF: 02457730592)
</t>
  </si>
  <si>
    <t>CONTROLSECURITY SISTEMI DI SICUREZZA SRL (CF: 05187291009)</t>
  </si>
  <si>
    <t>Licenze software gestionale Zucchetti</t>
  </si>
  <si>
    <t xml:space="preserve">LINEA COMPUTER SRL (CF: 01265740710)
PROGRESS GROUP SRL (CF: 01860050606)
SPECTRE SRL (CF: 01475310700)
VAR GROUP S.P.A. (CF: 03301640482)
ZUCCHETTI SOFTWARE SRL (CF: 02158360285)
</t>
  </si>
  <si>
    <t>PROGRESS GROUP SRL (CF: 01860050606)</t>
  </si>
  <si>
    <t>N. 6 Apparecchiature multifunzione colore sede largo Leopardi in noleggio</t>
  </si>
  <si>
    <t>n. 5 Apparecchiature Multifunzione B/N Sede Largo Leopardi in noleggio</t>
  </si>
  <si>
    <t>Conduzione e manutenzione degli impianti elevatori per le sedi centrali</t>
  </si>
  <si>
    <t xml:space="preserve">BIAGIOLI S.R.L. (CF: 03935741003)
ENTASYS SRL (CF: 01833850850)
FERRARI &amp; C SRL (CF: 00489490581)
RAVANI ELEVATORI SRL (CF: 01591480387)
SIMALT SRL (CF: 13309491002)
</t>
  </si>
  <si>
    <t>FERRARI &amp; C SRL (CF: 00489490581)</t>
  </si>
  <si>
    <t>Conduzione e manutenzione degli impianti termoidraulici, di condizionamento ed idrico-sanitari per le sedi centrali</t>
  </si>
  <si>
    <t xml:space="preserve">CAPPELLETTI SRL (CF: 01290190568)
EUROELETTRA ITALIA SRL (CF: 08502171005)
SAEMA S.R.L. (CF: 03317700791)
SIMALT SRL (CF: 13309491002)
ZANZI SERVIZI SPA (CF: 04572551002)
</t>
  </si>
  <si>
    <t>ZANZI SERVIZI SPA (CF: 04572551002)</t>
  </si>
  <si>
    <t>Fornitura e posa in opera di chiavi per ascensori e montacarichi presso la sede centrale di Via Giorgione 106</t>
  </si>
  <si>
    <t xml:space="preserve">FERRARI &amp; C SRL (CF: 00489490581)
</t>
  </si>
  <si>
    <t>BENNY HOTEL - CONVENZIONE</t>
  </si>
  <si>
    <t xml:space="preserve">BENNY HOTEL S.R.L. (CF: 02186690794)
</t>
  </si>
  <si>
    <t>BENNY HOTEL S.R.L. (CF: 02186690794)</t>
  </si>
  <si>
    <t>CATENA ALBERGHIERA MONRIF HOTEL - CONVENZIONE</t>
  </si>
  <si>
    <t xml:space="preserve">E.G.A. S.R.L. (CF: 00470050378)
</t>
  </si>
  <si>
    <t>E.G.A. S.R.L. (CF: 00470050378)</t>
  </si>
  <si>
    <t>HOTEL PULITZER - CONVENZIONE</t>
  </si>
  <si>
    <t xml:space="preserve">ALVARES S.R.L. (CF: 08753091001)
</t>
  </si>
  <si>
    <t>ALVARES S.R.L. (CF: 08753091001)</t>
  </si>
  <si>
    <t>RIVOLI HOTEL - CONVENZIONE</t>
  </si>
  <si>
    <t xml:space="preserve">HOTEL RIVOLI S.P.A (CF: 04236000487)
</t>
  </si>
  <si>
    <t>HOTEL RIVOLI S.P.A (CF: 04236000487)</t>
  </si>
  <si>
    <t>GRAND HOTEL MINERVA - CONVENZIONE</t>
  </si>
  <si>
    <t xml:space="preserve">IMMOBILIARE MINERVA S.P.A. (CF: 00907460489)
</t>
  </si>
  <si>
    <t>IMMOBILIARE MINERVA S.P.A. (CF: 00907460489)</t>
  </si>
  <si>
    <t>Fornitura in comodato dâ€™uso e della relativa installazione e manutenzione dellâ€™apparato concentratore per la ricezione delle Agenzia di Stampa</t>
  </si>
  <si>
    <t xml:space="preserve">DATA STAMPA SRL (CF: 04982350581)
L'ECO DELLA STAMPA S.P.A. (CF: 06862080154)
MIMESI (CF: 02161300344)
TELECOM NEWS SRL (CF: 12346981009)
TELPRESS ITALIA S.R.L. (CF: 00735000572)
</t>
  </si>
  <si>
    <t>DATA STAMPA SRL (CF: 04982350581)</t>
  </si>
  <si>
    <t>HOTEL MERCURE PALERMO - CONVENZIONE</t>
  </si>
  <si>
    <t xml:space="preserve">HOTEL PRINCIPE D'ARAGONA S.R.L. (CF: 05701170820)
</t>
  </si>
  <si>
    <t>HOTEL PRINCIPE D'ARAGONA S.R.L. (CF: 05701170820)</t>
  </si>
  <si>
    <t>VILLA ROMANAZZI CARDUCCI HOTEL - CONVENZIONE</t>
  </si>
  <si>
    <t xml:space="preserve">TOUREXP S.R.L. (CF: 07497270723)
</t>
  </si>
  <si>
    <t>TOUREXP S.R.L. (CF: 07497270723)</t>
  </si>
  <si>
    <t>H10 ROMA CITTA' - CONVENZIONE</t>
  </si>
  <si>
    <t xml:space="preserve">BARCINO GESTIONI S.R.L. (CF: 10135531001)
</t>
  </si>
  <si>
    <t>BARCINO GESTIONI S.R.L. (CF: 10135531001)</t>
  </si>
  <si>
    <t>CONCERTO HOTEL - CATENA ALBERGHIERA</t>
  </si>
  <si>
    <t xml:space="preserve">CONCERTO HOTELS (CF: 05016120486)
</t>
  </si>
  <si>
    <t>CONCERTO HOTELS (CF: 05016120486)</t>
  </si>
  <si>
    <t>STARHOTEL CATENA ALBERGHIERA - CONVENZIONE</t>
  </si>
  <si>
    <t xml:space="preserve">STARHOTELS S.P.A. (CF: 03360930154)
</t>
  </si>
  <si>
    <t>STARHOTELS S.P.A. (CF: 03360930154)</t>
  </si>
  <si>
    <t xml:space="preserve">VILLA DELL'OMBRELLINO SRL (CF: 08441281006)
</t>
  </si>
  <si>
    <t>VILLA DELL'OMBRELLINO SRL (CF: 08441281006)</t>
  </si>
  <si>
    <t>Gas naturale 2019-2020 Sede Giorgione 106</t>
  </si>
  <si>
    <t>Fornitura di timbri di varie tipologie, biglietti da visita e prodotti vari per gli Uffici Centrali</t>
  </si>
  <si>
    <t xml:space="preserve">BLU3 SRL (CF: 07843401006)
EDU360SRL (CF: 11390161005)
HOUSE OFFICE SRL (CF: 12848591009)
INNOCOM SRL (CF: 10674221006)
PRINTAMENTE SNC (CF: 05846281003)
</t>
  </si>
  <si>
    <t>HOUSE OFFICE SRL (CF: 12848591009)</t>
  </si>
  <si>
    <t>Noleggio Fiat Tipo SEDAN - Abruzzo</t>
  </si>
  <si>
    <t>Noleggio Fiat Tipo SEDAN - MARCHE</t>
  </si>
  <si>
    <t>Fornitura di risme di carta A3 e A4 (naturale e riciclata) per le Direzioni Centrali</t>
  </si>
  <si>
    <t xml:space="preserve">CRG SRL (CF: 11312370155)
DE PETRO CARTA S.R.L. (CF: 01233220068)
SCAZZOLA SRL (CF: 01857830069)
SI.EL.CO SRL (CF: 00614130128)
TIPO STAMPA SRL (CF: 09342350015)
</t>
  </si>
  <si>
    <t>SI.EL.CO SRL (CF: 00614130128)</t>
  </si>
  <si>
    <t>Valutazione della conoscenza delle lingue inglese, francese e spagnolo</t>
  </si>
  <si>
    <t xml:space="preserve">TRINITY SCHOOL SAS (CF: 05355871004)
</t>
  </si>
  <si>
    <t>TRINITY SCHOOL SAS (CF: 05355871004)</t>
  </si>
  <si>
    <t>Servizio di pubblicazione legale degli estratti di bandi di gara e degli avvisi su due quotidiani cartacei a diffusione nazionale e su due quotidiani cartacei a diffusione locale</t>
  </si>
  <si>
    <t xml:space="preserve">FAMIS S.R.L. (CF: 02903240246)
IL SOLE 24ORE S.P.A. (CF: 00777910159)
MEDIAGRAPHIC SRL (CF: 05833480725)
PUBBLIGARE MANAGEMENT SRL (CF: 12328591008)
VIVENDA SRL (CF: 08959351001)
</t>
  </si>
  <si>
    <t>PUBBLIGARE MANAGEMENT SRL (CF: 12328591008)</t>
  </si>
  <si>
    <t>Fornitura di toner per le sedi degli Uffici Centrali</t>
  </si>
  <si>
    <t xml:space="preserve">ARKIMEDE S.R.L. (CF: 06389530822)
CRISTIANI SRL (CF: 01688600186)
NEXTEAM SRL (CF: 02160770695)
PALMO SRL (CF: 13548601007)
TECNO OFFICE SNC (CF: 01259150553)
</t>
  </si>
  <si>
    <t>TECNO OFFICE SNC (CF: 01259150553)</t>
  </si>
  <si>
    <t>Energia elettrica 2019/2020 sede di Via Giorgione 106 Roma</t>
  </si>
  <si>
    <t>Energia elettrica BT 2019/2020 sede di Via Giorgione 106 Roma</t>
  </si>
  <si>
    <t>Pulizia straordinaria, igienizzazione e sanificazione dei fancoils presenti nella sede centraledi via Giorgione 159</t>
  </si>
  <si>
    <t xml:space="preserve">LTM IMPIANTI SRL (CF: 12308741003)
</t>
  </si>
  <si>
    <t>LTM IMPIANTI SRL (CF: 12308741003)</t>
  </si>
  <si>
    <t>Noleggio fotocopiatore multifunzione</t>
  </si>
  <si>
    <t>CONVENZIONE ALBERGHIERA ROSCIOLI HOTEL RAFFAELLO</t>
  </si>
  <si>
    <t xml:space="preserve">GT BETA S.R.L. (CF: 08507781006)
</t>
  </si>
  <si>
    <t>GT BETA S.R.L. (CF: 08507781006)</t>
  </si>
  <si>
    <t>Fornitura gasolio da riscaldamento stagione 2019/20 sede Giorgione 1A</t>
  </si>
  <si>
    <t xml:space="preserve">BRONCHI COMBUSTIBILI SRL (CF: 01252710403)
</t>
  </si>
  <si>
    <t>BRONCHI COMBUSTIBILI SRL (CF: 01252710403)</t>
  </si>
  <si>
    <t>Fornitura gasolio da riscaldamento stagione 2019/20 sede Largo Leopardi</t>
  </si>
  <si>
    <t>Noleggio veicolo commerciale Ducato Furgone 28 CH1 2.0 MJT 16v 115CV E6 DR Liguria</t>
  </si>
  <si>
    <t>Noleggio autovettura - DR TOSCANA</t>
  </si>
  <si>
    <t>Noleggio veicolo - DR VALLE D'AOSTA</t>
  </si>
  <si>
    <t>Noleggio autovettura - DR SARDEGNA</t>
  </si>
  <si>
    <t>Noleggio autovettura - DR SICILIA</t>
  </si>
  <si>
    <t>Noleggio autovettura - DR CAMPANIA</t>
  </si>
  <si>
    <t>noleggio autovettura - DR LAZIO</t>
  </si>
  <si>
    <t>Noleggio veicolo commerciale peugeot partner furgone L1 Bluehdi 75cv - CAMPANIA</t>
  </si>
  <si>
    <t xml:space="preserve">LEASE PLAN ITALIA S.P.A. (CF: 06496050151)
</t>
  </si>
  <si>
    <t>LEASE PLAN ITALIA S.P.A. (CF: 06496050151)</t>
  </si>
  <si>
    <t>SANTINA HOTEL ROSCIOLI - CONVENZIONE ALBERGHIERA</t>
  </si>
  <si>
    <t xml:space="preserve">SANTINA S.P.A. (CF: 00883111007)
</t>
  </si>
  <si>
    <t>SANTINA S.P.A. (CF: 00883111007)</t>
  </si>
  <si>
    <t>HOTEL EDEN - CONVENZIONE</t>
  </si>
  <si>
    <t>Fornitura di carburante per autotrazione mediante Fuel Card</t>
  </si>
  <si>
    <t xml:space="preserve">ITALIANA PETROLI SPA (GIÃ  TOTALERG S.P.A.) (CF: 00051570893)
</t>
  </si>
  <si>
    <t>ITALIANA PETROLI SPA (GIÃ  TOTALERG S.P.A.) (CF: 00051570893)</t>
  </si>
  <si>
    <t>HOTEL ESPLANADE - CONVENZIONE</t>
  </si>
  <si>
    <t xml:space="preserve">ESPLANADE S.P.A. (CF: 00062380688)
</t>
  </si>
  <si>
    <t>ESPLANADE S.P.A. (CF: 00062380688)</t>
  </si>
  <si>
    <t>Fornitura e posa in opera di n. 26 magneti di tenuta a servizio di n. 13 porte REI installate al piano terra della sede dellâ€™Agenzia delle Entrate di Roma in via Giorgione, 106</t>
  </si>
  <si>
    <t xml:space="preserve">ATMS IMPIANTI SRL (CF: 07900981007)
</t>
  </si>
  <si>
    <t>ATMS IMPIANTI SRL (CF: 07900981007)</t>
  </si>
  <si>
    <t>Abbonamento</t>
  </si>
  <si>
    <t xml:space="preserve">DAILY REAL ESTATE S.R.L. (CF: 03276200163)
</t>
  </si>
  <si>
    <t>DAILY REAL ESTATE S.R.L. (CF: 03276200163)</t>
  </si>
  <si>
    <t>Fornitura e installazione di apparati Codec VDC</t>
  </si>
  <si>
    <t xml:space="preserve">DELTA TECNO STUDIO SRL (CF: 10899161003)
</t>
  </si>
  <si>
    <t>Abbonamenti</t>
  </si>
  <si>
    <t xml:space="preserve">BOLLETTINO TRIBUTARIO SNC DI G. SALVATORES E C. (CF: 00882700156)
</t>
  </si>
  <si>
    <t>BOLLETTINO TRIBUTARIO SNC DI G. SALVATORES E C. (CF: 00882700156)</t>
  </si>
  <si>
    <t>Erogazione di un corso di aggiornamento per lâ€™uso del defibrillatore</t>
  </si>
  <si>
    <t xml:space="preserve">E.R.M.E.S CORSI FORMAZIONE (CF: 97976160586)
SILAQ SINERGIE SRL (CF: 11524141006)
</t>
  </si>
  <si>
    <t>SILAQ SINERGIE SRL (CF: 11524141006)</t>
  </si>
  <si>
    <t>Manutenzione autoveicoli</t>
  </si>
  <si>
    <t xml:space="preserve">ATS SRL (CF: 02710840592)
ELEVOX SRL (CF: 06615320584)
</t>
  </si>
  <si>
    <t>ELEVOX SRL (CF: 06615320584)</t>
  </si>
  <si>
    <t xml:space="preserve">PACINI EDITORE SRL (CF: 00696690502)
</t>
  </si>
  <si>
    <t>PACINI EDITORE SRL (CF: 00696690502)</t>
  </si>
  <si>
    <t xml:space="preserve">SCENARI IMMOBILIARI SRL (CF: 06346211003)
</t>
  </si>
  <si>
    <t>SCENARI IMMOBILIARI SRL (CF: 06346211003)</t>
  </si>
  <si>
    <t xml:space="preserve">GIURICONSULT SRL (CF: 05247730822)
</t>
  </si>
  <si>
    <t>GIURICONSULT SRL (CF: 05247730822)</t>
  </si>
  <si>
    <t>Adesione per l'anno 2020 al  programma Corporate Membership  dell'AIIA</t>
  </si>
  <si>
    <t xml:space="preserve">ASSOCIAZIONE ITALIANA INTERNAL AUDITORS (CF: 02893990156)
</t>
  </si>
  <si>
    <t>ASSOCIAZIONE ITALIANA INTERNAL AUDITORS (CF: 02893990156)</t>
  </si>
  <si>
    <t>Raccolta dati per il sondaggio congiunturale sul mercato delle abitazioni in Italia e in favore della Banca d'Italia, dell'Agenzia delle Entrate e di Tecnoborsa</t>
  </si>
  <si>
    <t xml:space="preserve">QUESTLAB SRL (CF: 03448440275)
</t>
  </si>
  <si>
    <t>QUESTLAB SRL (CF: 03448440275)</t>
  </si>
  <si>
    <t>Prodotti tipografici per le esigenze delle Direzioni Regionali</t>
  </si>
  <si>
    <t xml:space="preserve">POSTEL SPA (CF: 04839740489)
</t>
  </si>
  <si>
    <t>POSTEL SPA (CF: 04839740489)</t>
  </si>
  <si>
    <t>Noleggio e assistenza antenna parabolica necessaria alla ricezione dei notiziari di Agenzia di stampa ANSA nellâ€™anno 2020</t>
  </si>
  <si>
    <t>Iscrizione all'Associazione Italiana Formatori - Anno 2020</t>
  </si>
  <si>
    <t xml:space="preserve">ASSOCIAZIONE ITALIANA FORMATORI (CF: 02320310150)
</t>
  </si>
  <si>
    <t>ASSOCIAZIONE ITALIANA FORMATORI (CF: 02320310150)</t>
  </si>
  <si>
    <t>Adesione dellâ€™Agenzia delle Entrate allâ€™UNI come socio ordinario per lâ€™anno 2020</t>
  </si>
  <si>
    <t xml:space="preserve">ENTE NAZIONALE ITALIANO DI UNIFICAZIONE (CF: 80037830157)
</t>
  </si>
  <si>
    <t>ENTE NAZIONALE ITALIANO DI UNIFICAZIONE (CF: 80037830157)</t>
  </si>
  <si>
    <t>Raccolta e Smaltimento Rifiuti di varia natura presso l'immobile sede della Direzione Centrale dell'Agenzia delle Entrate, Via Giorgione 159 Roma</t>
  </si>
  <si>
    <t xml:space="preserve">INTERECO SERVIZI SRL (CF: 04185561000)
</t>
  </si>
  <si>
    <t>INTERECO SERVIZI SRL (CF: 04185561000)</t>
  </si>
  <si>
    <t>Lavori per la realizzazione di un nuovo impianto di rilevamento incendi</t>
  </si>
  <si>
    <t xml:space="preserve">CLIMART SRL (CF: 01669090431)
ELETTRICA ELLE SRL (CF: 07864091009)
EPICA S.R.L. (CF: 08721501214)
GIULIANO SRL (CF: 06220891219)
SUD SERVICE SRL (CF: 07129410721)
</t>
  </si>
  <si>
    <t>ELETTRICA ELLE SRL (CF: 07864091009)</t>
  </si>
  <si>
    <t>Hotel Ambasciatori - Convenzione</t>
  </si>
  <si>
    <t xml:space="preserve">COMPAGNIA TURISTICO ALBERGHIERA S.R.L. (CF: 03262740404)
</t>
  </si>
  <si>
    <t>COMPAGNIA TURISTICO ALBERGHIERA S.R.L. (CF: 03262740404)</t>
  </si>
  <si>
    <t>E-HOTEL - CONVENZIONE</t>
  </si>
  <si>
    <t xml:space="preserve">HOSPITALITY GROUP SRL (CF: 02559490806)
</t>
  </si>
  <si>
    <t>HOSPITALITY GROUP SRL (CF: 02559490806)</t>
  </si>
  <si>
    <t>Serrature tipo, piastre a vetro e cilindri singoli</t>
  </si>
  <si>
    <t xml:space="preserve">FERRAMENTA MESSINA SNC (CF: 07158710587)
</t>
  </si>
  <si>
    <t>FERRAMENTA MESSINA SNC (CF: 07158710587)</t>
  </si>
  <si>
    <t>NORD NUOVA ROMA - CONVENZIONE</t>
  </si>
  <si>
    <t xml:space="preserve">ALBERGO NORD NUOVA ROMA S.R.L. (CF: 00443580584)
</t>
  </si>
  <si>
    <t>ALBERGO NORD NUOVA ROMA S.R.L. (CF: 00443580584)</t>
  </si>
  <si>
    <t>OLY HOTEL - Convenzione alberghiera</t>
  </si>
  <si>
    <t xml:space="preserve">OLY HOTEL SRL (CF: 05454500587)
</t>
  </si>
  <si>
    <t>OLY HOTEL SRL (CF: 05454500587)</t>
  </si>
  <si>
    <t>HOTEL PLAZA - CONVENZIONE</t>
  </si>
  <si>
    <t xml:space="preserve">HOTEL PLAZA S.P.A. (CF: 00182020271)
</t>
  </si>
  <si>
    <t>HOTEL PLAZA S.P.A. (CF: 00182020271)</t>
  </si>
  <si>
    <t>SHERATON HOTEL ROMA - CONVENZIONE (giÃ  ALTAIR IMMOBILIARE Srl giÃ  AERHOTEL Srl)</t>
  </si>
  <si>
    <t xml:space="preserve">ALTAIR IMMOBILIARE SRL (GIÃ  AERHOTEL S.R.L.) (CF: 00441990587)
LARIMAR ROME HOTEL OPERATIONS S.R.L (CF: 10171560963)
</t>
  </si>
  <si>
    <t>LARIMAR ROME HOTEL OPERATIONS S.R.L (CF: 10171560963)</t>
  </si>
  <si>
    <t>HOTEL SAN MICHELE - CONVENZIONE (ceduta azienda a FEMA SRL)</t>
  </si>
  <si>
    <t xml:space="preserve">HOTEL SAN MICHELE S.R.L. (CF: 01575690662)
</t>
  </si>
  <si>
    <t>HOTEL SAN MICHELE S.R.L. (CF: 01575690662)</t>
  </si>
  <si>
    <t>UNIVERSO HOTEL ROSCIOLI - CONVENZIONE ALBERGHIERA</t>
  </si>
  <si>
    <t xml:space="preserve">ROSCIOLI &amp; PALLAVICINI S.R.L. (CF: 00882831001)
</t>
  </si>
  <si>
    <t>ROSCIOLI &amp; PALLAVICINI S.R.L. (CF: 00882831001)</t>
  </si>
  <si>
    <t>Servizio di interpretariato LIS</t>
  </si>
  <si>
    <t xml:space="preserve">LO BELLO ANNA (CF: LBLNNA81C48H501G)
</t>
  </si>
  <si>
    <t>LO BELLO ANNA (CF: LBLNNA81C48H501G)</t>
  </si>
  <si>
    <t>Fornitura e posa in opera di Totem esterni presso le sedi dellâ€™Agenzia delle Entrate siti in Via Giorgione nn. 106 e 159</t>
  </si>
  <si>
    <t xml:space="preserve">I.S.I. IMPRESA SEGNALETICA INFORMATIVA DI S. MASCIARELLI SNC (CF: 08914001006)
PHOENICIS S.R.L. (CF: 14114571004)
PROSPETTIVA SRL (CF: 02060730591)
</t>
  </si>
  <si>
    <t>PROSPETTIVA SRL (CF: 02060730591)</t>
  </si>
  <si>
    <t>Inserzione in Gazzetta Ufficiale n. 2000001028</t>
  </si>
  <si>
    <t xml:space="preserve">ISTITUTO POLIGRAFICO E ZECCA DELLO STATO (CF: 00399810589)
</t>
  </si>
  <si>
    <t>ISTITUTO POLIGRAFICO E ZECCA DELLO STATO (CF: 00399810589)</t>
  </si>
  <si>
    <t>Fornitura e posa di copertura in materiale plastico per protezione dellâ€™area fumatori posta al primo piano di Giorgione 106</t>
  </si>
  <si>
    <t xml:space="preserve">TABRIZ SAS DI LIVI MASSIMO (CF: 05846531001)
</t>
  </si>
  <si>
    <t>TABRIZ SAS DI LIVI MASSIMO (CF: 05846531001)</t>
  </si>
  <si>
    <t>encoder hardware webcaster x 2</t>
  </si>
  <si>
    <t xml:space="preserve">GOMA ELETTRONICA (CF: 02367820012)
</t>
  </si>
  <si>
    <t>GOMA ELETTRONICA (CF: 02367820012)</t>
  </si>
  <si>
    <t>Abbonamento a Bloomberg professional per Ufficio Accordi preventivi e procedure amichevoli</t>
  </si>
  <si>
    <t>Telefonia fissa e connettivitÃ  IP</t>
  </si>
  <si>
    <t>BarcelÃ² Aran Mantegna Hotel - Convenzione alberghiera</t>
  </si>
  <si>
    <t xml:space="preserve">BARCELO GESTION HOTELES ROMA S.R.L. (CF: 12332681001)
</t>
  </si>
  <si>
    <t>BARCELO GESTION HOTELES ROMA S.R.L. (CF: 12332681001)</t>
  </si>
  <si>
    <t>SAN PAOLO PALACE - CONVENZIONE</t>
  </si>
  <si>
    <t xml:space="preserve">SEA BEACH IMMOBILIARE S.R.L. (CF: 03841970829)
</t>
  </si>
  <si>
    <t>SEA BEACH IMMOBILIARE S.R.L. (CF: 03841970829)</t>
  </si>
  <si>
    <t xml:space="preserve">SPACE HOTELS SOCIETA COOPERATIVA (CF: 80038950582)
</t>
  </si>
  <si>
    <t>SPACE HOTELS SOCIETA COOPERATIVA (CF: 80038950582)</t>
  </si>
  <si>
    <t>BETTOJA HOTEL MASSIMO D'AZEGLIO, ATLANTICO, MEDITERRANEO - CONVENZIONE</t>
  </si>
  <si>
    <t xml:space="preserve">AZIENDE ALBERGHIERE BETTOJA S.P.A. (CF: 00458710589)
</t>
  </si>
  <si>
    <t>AZIENDE ALBERGHIERE BETTOJA S.P.A. (CF: 00458710589)</t>
  </si>
  <si>
    <t>CATENA ALBERGHIERA ACCOR HOTEL</t>
  </si>
  <si>
    <t xml:space="preserve">ACCOR HOSPITALITY ITALIA S.R.L. (CF: 09421280158)
</t>
  </si>
  <si>
    <t>ACCOR HOSPITALITY ITALIA S.R.L. (CF: 09421280158)</t>
  </si>
  <si>
    <t xml:space="preserve">OMNIA TERZIARIO SRL (CF: 02650380583)
</t>
  </si>
  <si>
    <t>OMNIA TERZIARIO SRL (CF: 02650380583)</t>
  </si>
  <si>
    <t>PALATINO HOTEL - CONVENZIONE</t>
  </si>
  <si>
    <t xml:space="preserve">MONTECARLO IMMOBILIARE S.P.A. (CF: 00434210480)
</t>
  </si>
  <si>
    <t>MONTECARLO IMMOBILIARE S.P.A. (CF: 00434210480)</t>
  </si>
  <si>
    <t>CATENA ALBERGHIERA BEST WESTERN ITALIA SPA</t>
  </si>
  <si>
    <t xml:space="preserve">BEST WESTERN ITALIA SPA (CF: 02747690010)
</t>
  </si>
  <si>
    <t>BEST WESTERN ITALIA SPA (CF: 02747690010)</t>
  </si>
  <si>
    <t xml:space="preserve">NH ITALIA S.P.A. (CF: 04440220962)
</t>
  </si>
  <si>
    <t>NH ITALIA S.P.A. (CF: 04440220962)</t>
  </si>
  <si>
    <t xml:space="preserve">GRUPPO UNA S.P.A. (CF: 00849180153)
</t>
  </si>
  <si>
    <t>GRUPPO UNA S.P.A. (CF: 00849180153)</t>
  </si>
  <si>
    <t>Fornitura biennale di 1 distributore di acqua in boccione presso la sede dellâ€™Agenzia delle Entrate di via Giorgione</t>
  </si>
  <si>
    <t xml:space="preserve">ACQUAVIVA S.R.L. (CF: 03792180980)
H2O S.R.L. (CF: 05712111003)
WATER TIME (CF: 02484930363)
</t>
  </si>
  <si>
    <t>ACQUAVIVA S.R.L. (CF: 03792180980)</t>
  </si>
  <si>
    <t>Assegnazione codifica DOI - Anno 2020</t>
  </si>
  <si>
    <t xml:space="preserve">EDISER SRL (CF: 03763520966)
</t>
  </si>
  <si>
    <t>EDISER SRL (CF: 03763520966)</t>
  </si>
  <si>
    <t>Acquisto di n. 2 filtri aria per videoproiettori</t>
  </si>
  <si>
    <t xml:space="preserve">DATA ITALIA SRL (CF: 05258351005)
INTERVIDEO SRL (CF: 02231460235)
MA.PO SRL UNIPERSONALE (CF: 02509001208)
MENHIR COMPUTERS (CF: PLNNGL63C63H588A)
SALA COMPONENTI SRL (CF: 02478120120)
</t>
  </si>
  <si>
    <t>DATA ITALIA SRL (CF: 05258351005)</t>
  </si>
  <si>
    <t>Acquisto di n. 14 toner per stampanti</t>
  </si>
  <si>
    <t xml:space="preserve">CARTO COPY SERVICE (CF: 04864781002)
LINEA DATA (CF: 03242680829)
MENHIR COMPUTERS (CF: PLNNGL63C63H588A)
PRINK SRL (CF: 02061220394)
VIRTUAL LOGIC SRL (CF: 03878640238)
</t>
  </si>
  <si>
    <t>CARTO COPY SERVICE (CF: 04864781002)</t>
  </si>
  <si>
    <t>Fornitura con posa di pannelli divisori per scrivanie</t>
  </si>
  <si>
    <t xml:space="preserve">BIERRE SRL (CF: 01251970586)
</t>
  </si>
  <si>
    <t>BIERRE SRL (CF: 01251970586)</t>
  </si>
  <si>
    <t>Catering per light lunch nella giornata del 13 febbraio 2020</t>
  </si>
  <si>
    <t xml:space="preserve">LA FORNARINA DI SPURIO CRISTIANO (CF: SPRCST66L18H501D)
</t>
  </si>
  <si>
    <t>LA FORNARINA DI SPURIO CRISTIANO (CF: SPRCST66L18H501D)</t>
  </si>
  <si>
    <t>Verifica periodica impianti di elevazione e di messa a terra</t>
  </si>
  <si>
    <t xml:space="preserve">ICOVER SRL (CF: 02860290788)
</t>
  </si>
  <si>
    <t>ICOVER SRL (CF: 02860290788)</t>
  </si>
  <si>
    <t>Erogazione di un corso per Responsabile del Rischio Amianto ai sensi del D.M. 6 settembre 1994</t>
  </si>
  <si>
    <t xml:space="preserve">INAIL IST. NAZ. ASS. INFORT. SUL LAVORO (CF: 01165400589)
</t>
  </si>
  <si>
    <t>INAIL IST. NAZ. ASS. INFORT. SUL LAVORO (CF: 01165400589)</t>
  </si>
  <si>
    <t>Fornitura e posa in opera di illuminazione presso il bancone reception della sede dellâ€™Agenzia delle Entrate sita in Via Giorgione n. 106</t>
  </si>
  <si>
    <t xml:space="preserve">INTEC SERVICE SRL (CF: 02820290647)
</t>
  </si>
  <si>
    <t>INTEC SERVICE SRL (CF: 02820290647)</t>
  </si>
  <si>
    <t>Organizzazione evento previsto per il 18 novembre 2019 in occasione dellâ€™incontro bilaterale tra lâ€™Agenzia delle Entrate e lâ€™Amministrazione fiscale della Georgia (GRS) in programma a Roma dal 19 al 20 novembre 2019</t>
  </si>
  <si>
    <t xml:space="preserve">FOODIX SRL (CF: 13144331009)
</t>
  </si>
  <si>
    <t>FOODIX SRL (CF: 13144331009)</t>
  </si>
  <si>
    <t>Convenzione taxi - Uffici centrali dell'Agenzia</t>
  </si>
  <si>
    <t xml:space="preserve">COOPERATIVA PRONTO TAXI 6645 - SOCIETA' COOPERATIVA (CF: 02705590582)
MONDO TAXI 8822 SRL (CF: 06991411007)
RADIOTAXI 3570 SOCIETA' COOPERATIVA (CF: 02278690587)
SOCIETA' COOPERATIVA SAMARCANDA (CF: 04321971006)
TAXI TEVERE SRL (CF: 08308331001)
</t>
  </si>
  <si>
    <t>RADIOTAXI 3570 SOCIETA' COOPERATIVA (CF: 02278690587)</t>
  </si>
  <si>
    <t>HOTEL REGINA - CONVENZIONE</t>
  </si>
  <si>
    <t xml:space="preserve">TRECI SNC DI CIDONI D. E CANTISANI C. (CF: 01560320218)
</t>
  </si>
  <si>
    <t>TRECI SNC DI CIDONI D. E CANTISANI C. (CF: 01560320218)</t>
  </si>
  <si>
    <t>VICTORIA HOTEL - CONVENZIONE</t>
  </si>
  <si>
    <t xml:space="preserve">VICTORIA HOTEL S.R.L. (CF: 01818500686)
</t>
  </si>
  <si>
    <t>VICTORIA HOTEL S.R.L. (CF: 01818500686)</t>
  </si>
  <si>
    <t>Energia elettrica in salvaguardia - Colombo</t>
  </si>
  <si>
    <t>SANTACROCE HOTEL OVIDIUS - CONVENZIONE</t>
  </si>
  <si>
    <t xml:space="preserve">HOTEL OVIDIUS SRL (GIÃ  SANTACROCE S.R.L.) (CF: 01612130664)
</t>
  </si>
  <si>
    <t>HOTEL OVIDIUS SRL (GIÃ  SANTACROCE S.R.L.) (CF: 01612130664)</t>
  </si>
  <si>
    <t>Noleggio Fiat Tipo SEDAN - PUGLIA</t>
  </si>
  <si>
    <t>Noleggio Fiat Tipo SEDAN - LIGURIA</t>
  </si>
  <si>
    <t>Noleggio Fiat Tipo SEDAN - UMBRIA</t>
  </si>
  <si>
    <t>Noleggio Fiat SEDAN - Basilicata</t>
  </si>
  <si>
    <t>Noleggio Fiat Tipo Sedan 1.6 - CALABRIA</t>
  </si>
  <si>
    <t>Noleggio Fiat Tipo SEDAN - FRIULI VENEZIA GIULIA</t>
  </si>
  <si>
    <t>Noleggio FIat Tipo SEDAN - DC</t>
  </si>
  <si>
    <t xml:space="preserve">IBFD (CF: 96452710583)
</t>
  </si>
  <si>
    <t>IBFD (CF: 96452710583)</t>
  </si>
  <si>
    <t>Fornitura ed installazione di distributori automatici di liquido igienizzante</t>
  </si>
  <si>
    <t xml:space="preserve">MEDITERRANEA DI COLETTA ANGELO E C. SAS (CF: 02326820582)
</t>
  </si>
  <si>
    <t>MEDITERRANEA DI COLETTA ANGELO E C. SAS (CF: 02326820582)</t>
  </si>
  <si>
    <t>Avvisi esiti di gara</t>
  </si>
  <si>
    <t>Energia Elettrica stagione 2020-21 sede Giorgione 159 parti comuni</t>
  </si>
  <si>
    <t>Acquisto n. 5 libri del gruppo Wolters Kluwer</t>
  </si>
  <si>
    <t xml:space="preserve">WOLTERS KLUWER ITALIA SRL (CF: 10209790152)
</t>
  </si>
  <si>
    <t>Abbonamento all'Osservatorio sul Mercato Immobiliare - anno 2020</t>
  </si>
  <si>
    <t xml:space="preserve">NOMISMA SOCIETÃ  DI STUDI ECONOMICI SPA (CF: 02243430374)
</t>
  </si>
  <si>
    <t>NOMISMA SOCIETÃ  DI STUDI ECONOMICI SPA (CF: 02243430374)</t>
  </si>
  <si>
    <t>Fornitura 1000 mascherine KN95</t>
  </si>
  <si>
    <t xml:space="preserve">WINNER ITALIA SRL (CF: 09321961006)
</t>
  </si>
  <si>
    <t>WINNER ITALIA SRL (CF: 09321961006)</t>
  </si>
  <si>
    <t>Acquisto di mascherine filtranti</t>
  </si>
  <si>
    <t xml:space="preserve">MODAIMPRESA SRL (CF: 00938990942)
</t>
  </si>
  <si>
    <t>MODAIMPRESA SRL (CF: 00938990942)</t>
  </si>
  <si>
    <t>Polizza di assicurazione della responsabilitÃ  professionale dei progettisti dipendenti dell'Agenzia</t>
  </si>
  <si>
    <t>Affidamento prestazione professionale di supporto tecnico alla progettazione, inquadrabile come servizio di architettura e ingegneria ai sensi del D.Lgs. 50/2016, art. 3, comma 1, lettera vvvv</t>
  </si>
  <si>
    <t xml:space="preserve">ROSCIOLI RAFFAELE (CF: RSCRFL71R23L103V)
</t>
  </si>
  <si>
    <t>ROSCIOLI RAFFAELE (CF: RSCRFL71R23L103V)</t>
  </si>
  <si>
    <t>Acquisto pubblicazioni</t>
  </si>
  <si>
    <t xml:space="preserve">CENTRO DI DOCUMENTAZIONE GIORNALISTICA SRL (CF: 03670431000)
</t>
  </si>
  <si>
    <t>CENTRO DI DOCUMENTAZIONE GIORNALISTICA SRL (CF: 03670431000)</t>
  </si>
  <si>
    <t>Consultazione e scarico Norme tecniche on-line</t>
  </si>
  <si>
    <t>Licenze software ACCA</t>
  </si>
  <si>
    <t xml:space="preserve">ACCA SOFTWARE SPA (CF: 01883740647)
DIGITAL OFFICE (CF: 03088240837)
LIUZZI MASSIMILIANO (CF: LZZMSM76H03D086G)
POWERMEDIA SRL (CF: 04440930826)
TECHNE SRL (CF: 01121580490)
</t>
  </si>
  <si>
    <t>LIUZZI MASSIMILIANO (CF: LZZMSM76H03D086G)</t>
  </si>
  <si>
    <t>Servizio di vigilanza presso le sedi della DR Sardegna - Lotto 4</t>
  </si>
  <si>
    <t>02-PROCEDURA RISTRETTA</t>
  </si>
  <si>
    <t xml:space="preserve">RAGGRUPPAMENTO:
- ALARM SYSTEM S.R.L. (CF: 01100020922) Ruolo: 02-MANDATARIA
- COOPSERVICE S.COOP.P.A. (CF: 00310180351) Ruolo: 01-MANDANTE
FEDERALPOL SRL (CF: 02451390906)
</t>
  </si>
  <si>
    <t xml:space="preserve">RAGGRUPPAMENTO:
- ALARM SYSTEM S.R.L. (CF: 01100020922) Ruolo: 02-MANDATARIA
- COOPSERVICE S.COOP.P.A. (CF: 00310180351) Ruolo: 01-MANDANTE
</t>
  </si>
  <si>
    <t>Vigilanza presso le sedi della Direzione Regionale Campania - Lotto 5</t>
  </si>
  <si>
    <t xml:space="preserve">COSMOPOL SPA (CF: 01764680649)
ISTITUTO DI VIGILANZA ITALIA S.R.L. (CF: 05202230636)
ISTITUTO DI VIGILANZA LA LEONESSA SPA (CF: 01288300633)
ISTITUTO DI VIGILANZA LA TORRE S.R.L. (CF: 02985610654)
ISTITUTO VIGILANZA ARGO S.R.L. (CF: 04995770585)
SECURITY SERVICE SRL (CF: 04607470582)
</t>
  </si>
  <si>
    <t>ISTITUTO VIGILANZA ARGO S.R.L. (CF: 04995770585)</t>
  </si>
  <si>
    <t>servizio di vigilanza presso le sedi della Direzione Regionale della Sicilia (lotto 3)</t>
  </si>
  <si>
    <t xml:space="preserve">RAGGRUPPAMENTO:
- SICILIA POLICE S.R.L. (CF: 04352040879) Ruolo: 04-CAPOGRUPPO
- SECURITY SERVICE SRL (CF: 04607470582) Ruolo: 05-CONSORZIATA
RAGGRUPPAMENTO:
- KSM S.P.A. (CF: 80020430825) Ruolo: 02-MANDATARIA
- SICURTRANSPORT SPA (CF: 00119850854) Ruolo: 01-MANDANTE
</t>
  </si>
  <si>
    <t xml:space="preserve">RAGGRUPPAMENTO:
- KSM S.P.A. (CF: 80020430825) Ruolo: 02-MANDATARIA
- SICURTRANSPORT SPA (CF: 00119850854) Ruolo: 01-MANDANTE
</t>
  </si>
  <si>
    <t>Servizi di facchinaggio, trasporto e trasloco a ridotto impatto ambientale - Lotto 5 Toscana e Umbria</t>
  </si>
  <si>
    <t xml:space="preserve">90 SERVIZI &amp; IMMOBILIARE S.R.L. (CF: 04197510482)
CO.LA.COOP. CONSORZIO LAZIALE COOPERATIVE (CF: 06594220581)
CONSORZIO GE.SE.AV. (CF: 01843430560)
ROSSI TRANSWORLD S.A.S. (CF: 05198491002)
SCALA ENTERPRISE S.R.L. (CF: 05594340639)
</t>
  </si>
  <si>
    <t>SCALA ENTERPRISE S.R.L. (CF: 05594340639)</t>
  </si>
  <si>
    <t>Servizi di facchinaggio, trasporto e trasloco a ridotto impatto ambientale per le sedi degli uffici delle Direzioni Regionali dellâ€™Agenzia delle Entrate â€“ Lotto 8 (Campania e Basilicata)</t>
  </si>
  <si>
    <t xml:space="preserve">CONSORZIO SERVIZI EUROPEI (CF: 03353441219)
IL RISVEGLIO SOC COOP.SOCIALE ARL (CF: 12018841002)
LA MONDIAL S.R.L. (CF: 00486270630)
ROSSI TRANSWORLD S.A.S. (CF: 05198491002)
SCALA ENTERPRISE S.R.L. (CF: 05594340639)
</t>
  </si>
  <si>
    <t>Facchinaggio, trasporto e trasloco a ridotto impatto ambientale - Lotto 10 Calabria e Sicilia</t>
  </si>
  <si>
    <t xml:space="preserve">RAGGRUPPAMENTO:
- CO.MI SRL (CF: 05631620829) Ruolo: 02-MANDATARIA
- F.LLI PIERO E FRANCO CRITELLI SRL (CF: 01261400798) Ruolo: 01-MANDANTE
- S.T.I DI SCIOTTO NATALE &amp; C. S.A.S. (CF: 01972200834) Ruolo: 01-MANDANTE
- SICILIA POST SRL (CF: 02958620839) Ruolo: 01-MANDANTE
APM DI M POLIMENI (CF: 02244990806)
CAMPANIA SRL (CF: 03694460613)
CONSORZIO MANUTENZIONI GENERALI (CF: 05878321214)
ROSSI TRANSWORLD S.A.S. (CF: 05198491002)
</t>
  </si>
  <si>
    <t xml:space="preserve">RAGGRUPPAMENTO:
- CO.MI SRL (CF: 05631620829) Ruolo: 02-MANDATARIA
- F.LLI PIERO E FRANCO CRITELLI SRL (CF: 01261400798) Ruolo: 01-MANDANTE
- S.T.I DI SCIOTTO NATALE &amp; C. S.A.S. (CF: 01972200834) Ruolo: 01-MANDANTE
- SICILIA POST SRL (CF: 02958620839) Ruolo: 01-MANDANTE
</t>
  </si>
  <si>
    <t>Facchinaggio, trasporto e trasloco a ridotto impianto ambientale - Lotto 7 Lazio e Sardegna</t>
  </si>
  <si>
    <t xml:space="preserve">CAMPANIA SRL (CF: 03694460613)
CO.LA.COOP. (CF: 01577491002)
IL RISVEGLIO SOC COOP.SOCIALE ARL (CF: 12018841002)
ROSSI TRANSWORLD S.A.S. (CF: 05198491002)
SCALA ENTERPRISE S.R.L. (CF: 05594340639)
</t>
  </si>
  <si>
    <t>Acquisto card Sandisk</t>
  </si>
  <si>
    <t xml:space="preserve">FOTOFORNITURE GUIDO SABATINI SRL (CF: 06451061003)
</t>
  </si>
  <si>
    <t>FOTOFORNITURE GUIDO SABATINI SRL (CF: 06451061003)</t>
  </si>
  <si>
    <t>Realizzazione di una parete a vetro con porta a due ante al piano 1Â° della sede di via Giorgione 159</t>
  </si>
  <si>
    <t xml:space="preserve">PASSARELLI SRL (CF: 07988790585)
</t>
  </si>
  <si>
    <t>PASSARELLI SRL (CF: 07988790585)</t>
  </si>
  <si>
    <t>Abbonamenti Lexitalia</t>
  </si>
  <si>
    <t>Fornitura di mascherine FFP2 e FFP3 con valvola e carboni attivi</t>
  </si>
  <si>
    <t xml:space="preserve">FEDUZI MATERIALI EDILI DI FEDUZI S. &amp; VERGARI A. SNC (CF: 02188710418)
</t>
  </si>
  <si>
    <t>FEDUZI MATERIALI EDILI DI FEDUZI S. &amp; VERGARI A. SNC (CF: 02188710418)</t>
  </si>
  <si>
    <t>Fornitura aggiuntiva di gasolio da riscaldamento 2019-2020 sede Leopardi</t>
  </si>
  <si>
    <t>Pubblicazione GURI n. 42 del 10/04/2020 -Procedura per lâ€™affidamento dei servizi di riscossione tributi</t>
  </si>
  <si>
    <t>Fornitura dei notiziari di Agenzia stampa RADIOCOR a favore dellâ€™Agenzia delle Entrate e di Agenzia delle entrate Riscossione per l'anno 2020</t>
  </si>
  <si>
    <t>SERVIZI DI RASSEGNA STAMPA E DI RILEVAZIONI AUDIOVISIVE</t>
  </si>
  <si>
    <t xml:space="preserve">DATA STAMPA SRL (CF: 04982350581)
L'ECO DELLA STAMPA S.P.A. (CF: 06862080154)
PRESSLINE S.R.L. (CF: 02427170358)
TELPRESS ITALIA S.R.L. (CF: 00735000572)
VOLO.COM SRL (CF: 13313330154)
</t>
  </si>
  <si>
    <t>Fornitura di schermi antifiato per prevenzione da Covid SARS-CoV-2</t>
  </si>
  <si>
    <t xml:space="preserve">AGLIANI MARIA JOSE' (CF: GLNMJS67B46H501C)
</t>
  </si>
  <si>
    <t>AGLIANI MARIA JOSE' (CF: GLNMJS67B46H501C)</t>
  </si>
  <si>
    <t>Bando Gara Broker - Pubblicazione GURI</t>
  </si>
  <si>
    <t>Gas naturale 2020-2021 Sede Giorgione 106</t>
  </si>
  <si>
    <t>Servizio di pulizia a ridotto impianto ambientale - Lotto 4 (subentro a MANITAL SCPA in data 27/03/2020)</t>
  </si>
  <si>
    <t xml:space="preserve">CM SERVICE SRL (CF: 08766390010)
GESTIONE SERVIZI INTEGRATI S.R.L. (CF: 09942990012)
LA LUCENTEZZA S.R.L. (CF: 03222370722)
MANITAL S.C.P.A.-CONSORZIO STABILE (CF: 06466050017)
SKILL SCARL (CF: 03854020280)
TEAM SERVICE (CF: 07947601006)
</t>
  </si>
  <si>
    <t>SKILL SCARL (CF: 03854020280)</t>
  </si>
  <si>
    <t>pubblicazione in GURI dellâ€™avviso di proroga relativo alla procedura aperta per lâ€™affidamento dei servizi di riscossione tributi</t>
  </si>
  <si>
    <t>Cancelleria per le Direzioni Centrali</t>
  </si>
  <si>
    <t xml:space="preserve">CONTAX INFORMATICA SRL (CF: 02230230597)
GIARY SRL (CF: 06537361005)
MYO S.R.L. (CF: 03222970406)
PREART S.R.L. (CF: 05200370871)
ZUCCHETTI INFORMATICA S.P.A. (CF: 09588050154)
</t>
  </si>
  <si>
    <t>MYO S.R.L. (CF: 03222970406)</t>
  </si>
  <si>
    <t>Fornitura mascherine chirurgiche monousi per le Direzioni Centrali</t>
  </si>
  <si>
    <t xml:space="preserve">BENEFIS SRL (CF: 02790240101)
</t>
  </si>
  <si>
    <t>BENEFIS SRL (CF: 02790240101)</t>
  </si>
  <si>
    <t>Trasporto di documentazione e facchinaggio presso il Centro di Gestione Documentale Lotto 1 - Agenzia delle Entrate</t>
  </si>
  <si>
    <t xml:space="preserve">COOPSERVICE S.COOP.P.A. (CF: 00310180351)
IL RISVEGLIO SOC COOP.SOCIALE ARL (CF: 12018841002)
RENZO SILEONI &amp; C. - TRASPORTI E SERVIZI - S.R.L. (CF: 05411161002)
ROSSI TRANSWORLD S.A.S. (CF: 05198491002)
S A F S.R.L. (CF: 04529881213)
</t>
  </si>
  <si>
    <t>COOPSERVICE S.COOP.P.A. (CF: 00310180351)</t>
  </si>
  <si>
    <t>Gestione degli archivi documentali presso il Centro Operativo di Pescara e le sedi distaccate di Sulmona e Reggio Calabria</t>
  </si>
  <si>
    <t xml:space="preserve">ARCHIVIANDO DI ROSA ANNA ABELA &amp; C. S.A.S (CF: 03294090786)
CONSORZIO STABILE EURO GLOBAL SERVICE GRANDI APPALTI (CF: 07422281001)
DEMAX DEPOSITI E TRASPORTI SPA (CF: 06700240580)
LA VENETA SERVIZI SPA (CF: 05185201000)
ROSSI TRANSWORLD S.A.S. (CF: 05198491002)
</t>
  </si>
  <si>
    <t>ARCHIVIANDO DI ROSA ANNA ABELA &amp; C. S.A.S (CF: 03294090786)</t>
  </si>
  <si>
    <t>Realizzazione della campagna di comunicazione sulla dichiarazione precompilata 2020</t>
  </si>
  <si>
    <t xml:space="preserve">ACC &amp; PARTNERS (CF: 07432351000)
</t>
  </si>
  <si>
    <t>ACC &amp; PARTNERS (CF: 07432351000)</t>
  </si>
  <si>
    <t>avvisi esiti di gara</t>
  </si>
  <si>
    <t>Servizio di MCU Lifesize cloud</t>
  </si>
  <si>
    <t xml:space="preserve">G.E.@COM SRL (CF: 13251800150)
</t>
  </si>
  <si>
    <t>G.E.@COM SRL (CF: 13251800150)</t>
  </si>
  <si>
    <t>Acquisto hardware vario</t>
  </si>
  <si>
    <t xml:space="preserve">ADPARTNERS SRL (CF: 03340710270)
C2 SRL (CF: 01121130197)
EFFEGI S.R.L. (CF: 00964210504)
FLERODO SRL (CF: 13824321007)
GLOBAL EXPRESS SRL (CF: 12329431006)
</t>
  </si>
  <si>
    <t>GLOBAL EXPRESS SRL (CF: 12329431006)</t>
  </si>
  <si>
    <t>Fornitura arredi ergonomici</t>
  </si>
  <si>
    <t xml:space="preserve">ILPACK STARTUP S.L (IdEstero: B95779419)
</t>
  </si>
  <si>
    <t>ILPACK STARTUP S.L (IdEstero: B95779419)</t>
  </si>
  <si>
    <t>Fornitura di prodotti per la rilevazione della temperatura corporea</t>
  </si>
  <si>
    <t xml:space="preserve">PA DIGITALE SPA (CF: 06628860964)
</t>
  </si>
  <si>
    <t>PA DIGITALE SPA (CF: 06628860964)</t>
  </si>
  <si>
    <t>Servizio di verifica e reintegro del materiale delle cassette di primo soccorso poste nelle sedi centrali</t>
  </si>
  <si>
    <t xml:space="preserve">ALIPAS SRL (CF: 00336450606)
EMERGO S.R.L. (CF: 04467060267)
GEICA S.R.L. (CF: 00863230520)
LU.TRI SRL (CF: 11151731004)
MEDITERRANEA DI COLETTA ANGELO E C. SAS (CF: 02326820582)
</t>
  </si>
  <si>
    <t>Manutenzione straordinaria per lâ€™adeguamento antincendio di cui allâ€™attivitÃ  34.2.C del locale archivio posto al piano interrato dell'Immobile demaniale sito in Largo Leopardi 5</t>
  </si>
  <si>
    <t xml:space="preserve">CP PROGETTI SRL (CF: 11189661009)
</t>
  </si>
  <si>
    <t>CP PROGETTI SRL (CF: 11189661009)</t>
  </si>
  <si>
    <t>Fornitura, stampa e consegna di prodotti tipografici</t>
  </si>
  <si>
    <t xml:space="preserve">RAGGRUPPAMENTO:
- ASCAM SRL (CF: 00976050427) Ruolo: 02-MANDATARIA
- ABRAMO PRINTING &amp; LOGISTICS S.P.A. (CF: 00166800797) Ruolo: 01-MANDANTE
GRAFICHE VALDELSA SERVIZI INTEGRATI SRL (CF: 01165810522)
POSTEL SPA (CF: 04839740489)
</t>
  </si>
  <si>
    <t>Erogazione del corso Mappare i processi e intervenire sulla loro organizzazione</t>
  </si>
  <si>
    <t>Abbonamento a Bloomberg professional</t>
  </si>
  <si>
    <t>Pubblicazione GURI n. 71 del 22/06/2020-Procedura aperta per lâ€™affidamento, in concessione,del servizio di distribuzione automatica di bevande, snack, nelle sedi dellâ€™Agenzia delle Entrate, mediante installazione e gestione di distributori automatici</t>
  </si>
  <si>
    <t>Manutenzione degli impianti antincendio presso le sedi delle Direzioni Centrali</t>
  </si>
  <si>
    <t xml:space="preserve">AIR FIRE SPA (CF: 06305150580)
BENE S.R.L. (CF: 02026350997)
CIREA SRL (CF: 00838000396)
GRUPPO ECF S.P.A. (CF: 04808921003)
TVL GROUP SRL (CF: 01978440202)
</t>
  </si>
  <si>
    <t>AIR FIRE SPA (CF: 06305150580)</t>
  </si>
  <si>
    <t>Manutenzione degli impianti elevatori presso le sedi delle Direzioni Centrali</t>
  </si>
  <si>
    <t xml:space="preserve">AROS ASCENSORI SRL (CF: 05869101005)
ESIS SRL (CF: 12010021009)
KONE SPA (CF: 05069070158)
OTIS SERVIZI SRL (CF: 01729590032)
THYSSENKRUPP ELEVATORI ITALIA SPA (CF: 03702760962)
</t>
  </si>
  <si>
    <t>THYSSENKRUPP ELEVATORI ITALIA SPA (CF: 03702760962)</t>
  </si>
  <si>
    <t>Conduzione e manutenzione degli impianti termoidraulici, di condizionamento ed idricosanitari presso le sedi centrali</t>
  </si>
  <si>
    <t xml:space="preserve">3A COSTRUZIONI S.R.L. (CF: 08654491003)
CITEM IMPIANTI SRL (CF: 02230970606)
IMMA SPA (CF: 01041270925)
LASER SRL (CF: 02350320590)
T.I.R.E.S. SRL (CF: 06004130016)
</t>
  </si>
  <si>
    <t>T.I.R.E.S. SRL (CF: 06004130016)</t>
  </si>
  <si>
    <t>Pubblicazione GURI n. 74 del 29/06/2020- Avviso aggiudicazione appalto gara servizi concorsuali</t>
  </si>
  <si>
    <t>Erogazione di un corso di formazione in materia di protezione dei dati personali in modalitÃ  e-learning</t>
  </si>
  <si>
    <t xml:space="preserve">EUROKLEIS SRL (CF: 06077951009)
ISIMPLY LEARNING SRL (CF: 09519800016)
MAGGIOLI S.P.A. (CF: 06188330150)
QSM SRL (CF: 00685340861)
WOLTERS KLUWER ITALIA SRL (CF: 10209790152)
</t>
  </si>
  <si>
    <t>ISIMPLY LEARNING SRL (CF: 09519800016)</t>
  </si>
  <si>
    <t>Servizio MCU in Cloud</t>
  </si>
  <si>
    <t xml:space="preserve">G.E.@COM SRL (CF: 13251800150)
LONGWAVE S.R.L. (CF: 01922820350)
OMNICONNECT (CF: 01586840504)
VIDEO SYSTEM BROADCAST (CF: 02203800244)
VIDEOLIFE SRL (CF: 11540941009)
</t>
  </si>
  <si>
    <t>Fornitura energia elettrica sedi centrali 2020/2021</t>
  </si>
  <si>
    <t>Manutenzione ordinaria, programmata e non programmata, per gli edifici degli Uffici Centrali</t>
  </si>
  <si>
    <t>08-AFFIDAMENTO IN ECONOMIA - COTTIMO FIDUCIARIO</t>
  </si>
  <si>
    <t xml:space="preserve">2F INNOVA S.R.L. (CF: 12689331002)
CAPRARI COSTRUZIONI SRL (CF: 08419941003)
OTTAVI FLAVIO (CF: TTVFLV78M01L182K)
PANZIERI MARCO S.R.L. (CF: 01167870573)
SPORALLI SRL (CF: 04299240871)
</t>
  </si>
  <si>
    <t>OTTAVI FLAVIO (CF: TTVFLV78M01L182K)</t>
  </si>
  <si>
    <t>Servizio di vigilanza e reception per le Direzioni Centrali - Lotto 1</t>
  </si>
  <si>
    <t xml:space="preserve">RAGGRUPPAMENTO:
- ITALPOL VIGILANZA S.R.L. (CF: 05849251003) Ruolo: 02-MANDATARIA
- COOPSERVICE S.COOP.P.A. (CF: 00310180351) Ruolo: 01-MANDANTE
RAGGRUPPAMENTO:
- ISTITUTO VIGILANZA ARGO S.R.L. (CF: 04995770585) Ruolo: 02-MANDATARIA
- KSM SERVICE SRL (CF: 05580970829) Ruolo: 01-MANDANTE
RAGGRUPPAMENTO:
- CITTA' DI ROMA METRONOTTE SOCIETA' COOPERATIVA (CF: 03707541003) Ruolo: 02-MANDATARIA
- METROSERVICE (CF: 09802301003) Ruolo: 01-MANDANTE
ITALSERVIZI 2007 S.R.L (CF: 09322791006)
SECURITY SERVICE SRL (CF: 04607470582)
</t>
  </si>
  <si>
    <t xml:space="preserve">RAGGRUPPAMENTO:
- ITALPOL VIGILANZA S.R.L. (CF: 05849251003) Ruolo: 02-MANDATARIA
- COOPSERVICE S.COOP.P.A. (CF: 00310180351) Ruolo: 01-MANDANTE
</t>
  </si>
  <si>
    <t>Prodotti per la rilevazione della temperatura corporea</t>
  </si>
  <si>
    <t>Inserzione in Gazzetta Ufficiale n. 1900046012</t>
  </si>
  <si>
    <t>Noleggio multifunzione</t>
  </si>
  <si>
    <t>Fornitura di materiale per lo spazio espositivo permanente presso la sede dellâ€™Agenzia delle Entrate in Largo Leopardi</t>
  </si>
  <si>
    <t xml:space="preserve">BRICOFER DI MAGRINI SRL (CF: 01389470590)
</t>
  </si>
  <si>
    <t>BRICOFER DI MAGRINI SRL (CF: 01389470590)</t>
  </si>
  <si>
    <t>Servizio di autolavaggio dei veicoli in dotazione alle sedi centrali</t>
  </si>
  <si>
    <t xml:space="preserve">EURO PARKING 2000 SAS DI BERARDO ROSANNA ANGELICA E C. (CF: 06031711002)
SIRIA SRL (CF: 12890831006)
SUPERWASH SRL (CF: 07228081001)
</t>
  </si>
  <si>
    <t>Fornitura di Tessuto Raso 100% cotone per lâ€™allestimento dello spazio espositivo permanente presso la sede sita in Largo Leopardi</t>
  </si>
  <si>
    <t xml:space="preserve">MIF 1940 SRL (CF: 10866131005)
</t>
  </si>
  <si>
    <t>MIF 1940 SRL (CF: 10866131005)</t>
  </si>
  <si>
    <t>Servizio di taxi per i dipendenti in servizio presso gli Uffici centrali dell'Agenzia</t>
  </si>
  <si>
    <t xml:space="preserve">COOPERATIVA PRONTO TAXI 6645 - SOCIETA' COOPERATIVA (CF: 02705590582)
RADIOTAXI 3570 SOCIETA' COOPERATIVA (CF: 02278690587)
SOCIETA' COOPERATIVA SAMARCANDA (CF: 04321971006)
</t>
  </si>
  <si>
    <t>Vigilanza privata - Lotto 11 (Campania)</t>
  </si>
  <si>
    <t xml:space="preserve">RAGGRUPPAMENTO:
- ISTITUTO DI VIGILANZA LA TORRE S.R.L. (CF: 02985610654) Ruolo: 02-MANDATARIA
- TURRIS SRL (CF: 01504011212) Ruolo: 01-MANDANTE
COSMOPOL SPA (CF: 01764680649)
INTERNATIONAL SECURITY SERVICE VIGILANZA SPA (CF: 10169951000)
ISTITUTO DI VIGILANZA ARGO (CF: 01338851007)
PRESTIGE SRL (CF: 07177961211)
</t>
  </si>
  <si>
    <t>COSMOPOL SPA (CF: 01764680649)</t>
  </si>
  <si>
    <t>Vigilanza privata - Lotto 9 (Lazio)</t>
  </si>
  <si>
    <t xml:space="preserve">RAGGRUPPAMENTO:
- ISTITUTO DI VIGILANZA DELL'URBE S.P.A. (CF: 05800441007) Ruolo: 02-MANDATARIA
- ISTITUTO DI VIGILANZA METROPOLITANA SRL (CF: 11900311009) Ruolo: 01-MANDANTE
- ISTITUTO DI VIGILANZA PRIVATA DELLA PROVINCIA DI VITERBO SRL (CF: 00628090565) Ruolo: 01-MANDANTE
- URBAN SECURITY INVESTIGATION ITALIA SRL (CF: 02668400605) Ruolo: 01-MANDANTE
RAGGRUPPAMENTO:
- INTERNATIONAL SECURITY SERVICE VIGILANZA SPA (CF: 10169951000) Ruolo: 02-MANDATARIA
- MONDIALPOL SECURITY SPA (CF: 02644430825) Ruolo: 01-MANDANTE
COSMOPOL SECURITY SRL (CF: 02849920588)
CSM GLOBAL SECURITY SERVICE SRL (CF: 12748521007)
ISTITUTO DI VIGILANZA ARGO (CF: 01338851007)
</t>
  </si>
  <si>
    <t>COSMOPOL SECURITY SRL (CF: 02849920588)</t>
  </si>
  <si>
    <t>Vigilanza privata - Lotto 14 (Sicilia)</t>
  </si>
  <si>
    <t xml:space="preserve">RAGGRUPPAMENTO:
- INTERNATIONAL SECURITY SERVICE VIGILANZA SPA (CF: 10169951000) Ruolo: 02-MANDATARIA
- MONDIALPOL SECURITY SPA (CF: 02644430825) Ruolo: 01-MANDANTE
- NEWGUARD SRL (CF: 03971040872) Ruolo: 01-MANDANTE
RAGGRUPPAMENTO:
- VERITAS SUD SRL (CF: 01880080872) Ruolo: 02-MANDATARIA
- METRONOTTE D'ITALIA SRL (CF: 00535480826) Ruolo: 01-MANDANTE
RAGGRUPPAMENTO:
- ISTITUTO DI VIGILANZA PRIVATA A.N.C.R. SRL (CF: 00604960864) Ruolo: 02-MANDATARIA
- EUROPOLICE SRL (CF: 05085400876) Ruolo: 01-MANDANTE
- SICILIA POLICE S.R.L. (CF: 04352040879) Ruolo: 01-MANDANTE
RAGGRUPPAMENTO:
- KSM S.P.A. (CF: 80020430825) Ruolo: 02-MANDATARIA
- SICURTRANSPORT SPA (CF: 00119850824) Ruolo: 01-MANDANTE
</t>
  </si>
  <si>
    <t xml:space="preserve">RAGGRUPPAMENTO:
- KSM S.P.A. (CF: 80020430825) Ruolo: 02-MANDATARIA
- SICURTRANSPORT SPA (CF: 00119850824) Ruolo: 01-MANDANTE
</t>
  </si>
  <si>
    <t>Vigilanza privata - Lotto 10 (DC/DG)</t>
  </si>
  <si>
    <t xml:space="preserve">RAGGRUPPAMENTO:
- ISTITUTO DI VIGILANZA LA TORRE S.R.L. (CF: 02985610654) Ruolo: 02-MANDATARIA
- TURRIS SRL (CF: 01504011212) Ruolo: 01-MANDANTE
COSMOPOL SECURITY SRL (CF: 02849920588)
CSM GLOBAL SECURITY SERVICE SRL (CF: 12748521007)
ISTITUTO DI VIGILANZA ARGO (CF: 01338851007)
PRESTIGE SRL (CF: 07177961211)
</t>
  </si>
  <si>
    <t>CSM GLOBAL SECURITY SERVICE SRL (CF: 12748521007)</t>
  </si>
  <si>
    <t>Vigilanza privata - Lotto 8 (Sardegna)</t>
  </si>
  <si>
    <t xml:space="preserve">RAGGRUPPAMENTO:
- VEDETTA 2 MONDIALPOL SPA (CF: 00780120135) Ruolo: 02-MANDATARIA
- VIGILANZA CANNAS SRL (CF: 01575030927) Ruolo: 01-MANDANTE
RAGGRUPPAMENTO:
- COOPSERVICE S.COOP.P.A. (CF: 00310180351) Ruolo: 02-MANDATARIA
- ALARM SYSTEM S.R.L. (CF: 01100020922) Ruolo: 01-MANDANTE
INTERNATIONAL SECURITY SERVICE VIGILANZA SPA (CF: 10169951000)
</t>
  </si>
  <si>
    <t xml:space="preserve">RAGGRUPPAMENTO:
- COOPSERVICE S.COOP.P.A. (CF: 00310180351) Ruolo: 02-MANDATARIA
- ALARM SYSTEM S.R.L. (CF: 01100020922) Ruolo: 01-MANDANTE
</t>
  </si>
  <si>
    <t>Vigilanza privata - Lotto 3 (Lombardia)</t>
  </si>
  <si>
    <t xml:space="preserve">RAGGRUPPAMENTO:
- SICURITALIA S.P.A (CF: 07897711003) Ruolo: 02-MANDATARIA
- CORPO GUARDIE GIURATE SPA (CF: 01360850067) Ruolo: 01-MANDANTE
- ITALPOL VIGILANZA S.R.L. (CF: 05849251003) Ruolo: 01-MANDANTE
RAGGRUPPAMENTO:
- CIVIS SPA (CF: 80039930153) Ruolo: 02-MANDATARIA
- CORPO DI VIGILANZA CITTÃ  DI VARESE E PROVINCIA SPA (CF: 00595070129) Ruolo: 01-MANDANTE
- MONDIALPOL BERGAMO (CF: 00770700169) Ruolo: 01-MANDANTE
- NUOVA SICUREZZA DEL CITTADINO - GRUPPO CIVIS S.P.A. (CF: 01183050127) Ruolo: 01-MANDANTE
- VEDETTA 2 MONDIALPOL SPA (CF: 00780120135) Ruolo: 01-MANDANTE
COSMOPOL SPA (CF: 01764680649)
INTERNATIONAL SECURITY SERVICE VIGILANZA SPA (CF: 10169951000)
</t>
  </si>
  <si>
    <t>Vigilanza privata - Lotto 12 (Molise, Puglia)</t>
  </si>
  <si>
    <t xml:space="preserve">COSMOPOL SPA (CF: 01764680649)
INTERNATIONAL SECURITY SERVICE VIGILANZA SPA (CF: 10169951000)
</t>
  </si>
  <si>
    <t>Vigilanza privata - Lotto 1 (Piemonte, Valle d'Aosta)</t>
  </si>
  <si>
    <t xml:space="preserve">RAGGRUPPAMENTO:
- ALL SYSTEM SPA (CF: 01579830025) Ruolo: 02-MANDATARIA
- VEDETTA 2 MONDIALPOL SPA (CF: 00780120135) Ruolo: 01-MANDANTE
INTERNATIONAL SECURITY SERVICE VIGILANZA SPA (CF: 10169951000)
</t>
  </si>
  <si>
    <t xml:space="preserve">RAGGRUPPAMENTO:
- ALL SYSTEM SPA (CF: 01579830025) Ruolo: 02-MANDATARIA
- VEDETTA 2 MONDIALPOL SPA (CF: 00780120135) Ruolo: 01-MANDANTE
</t>
  </si>
  <si>
    <t>Vigilanza privata - Lotto 4 (Veneto, Trentino Alto Adige, Friuli Venezia Giulia)</t>
  </si>
  <si>
    <t xml:space="preserve">RAGGRUPPAMENTO:
- CIVIS SPA (CF: 80039930153) Ruolo: 02-MANDATARIA
- CITTADINI DELL'ORDINE S.R.L. (CF: 02415990213) Ruolo: 01-MANDANTE
- CORPO VIGILI NOTTURNI S.R.L. (CF: 01190150308) Ruolo: 01-MANDANTE
- RANGERS S.R.L. (CF: 00864080247) Ruolo: 01-MANDANTE
- VEDETTA 2 MONDIALPOL SPA (CF: 00780120135) Ruolo: 01-MANDANTE
INTERNATIONAL SECURITY SERVICE VIGILANZA SPA (CF: 10169951000)
SICURITALIA S.P.A (CF: 07897711003)
</t>
  </si>
  <si>
    <t xml:space="preserve">RAGGRUPPAMENTO:
- CIVIS SPA (CF: 80039930153) Ruolo: 02-MANDATARIA
- CITTADINI DELL'ORDINE S.R.L. (CF: 02415990213) Ruolo: 01-MANDANTE
- CORPO VIGILI NOTTURNI S.R.L. (CF: 01190150308) Ruolo: 01-MANDANTE
- RANGERS S.R.L. (CF: 00864080247) Ruolo: 01-MANDANTE
- VEDETTA 2 MONDIALPOL SPA (CF: 00780120135) Ruolo: 01-MANDANTE
</t>
  </si>
  <si>
    <t>Vigilanza privata - Lotto 6 (Toscana)</t>
  </si>
  <si>
    <t xml:space="preserve">RAGGRUPPAMENTO:
- IL GLOBO VIGILANZA S.R.L. (CF: 01065300475) Ruolo: 02-MANDATARIA
- RANGERS S.R.L. (CF: 00864080247) Ruolo: 01-MANDANTE
RAGGRUPPAMENTO:
- CONSORZIO LEONARDO SERVIZI E LAVORI SOC. COOPERATIVA (CF: 01535090474) Ruolo: 02-MANDATARIA
- CORPO VIGILI GIURATI SPA (CF: 03182700488) Ruolo: 01-MANDANTE
INTERNATIONAL SECURITY SERVICE VIGILANZA SPA (CF: 10169951000)
</t>
  </si>
  <si>
    <t xml:space="preserve">RAGGRUPPAMENTO:
- CONSORZIO LEONARDO SERVIZI E LAVORI SOC. COOPERATIVA (CF: 01535090474) Ruolo: 02-MANDATARIA
- CORPO VIGILI GIURATI SPA (CF: 03182700488) Ruolo: 01-MANDANTE
</t>
  </si>
  <si>
    <t>Vigilanza privata - Lotto 5 (Emilia Romagna)</t>
  </si>
  <si>
    <t xml:space="preserve">RAGGRUPPAMENTO:
- SICURITALIA S.P.A (CF: 07897711003) Ruolo: 02-MANDATARIA
- CITTADINI DELL'ORDINE S.R.L. (CF: 02415990213) Ruolo: 01-MANDANTE
- CORPO GUARDIE GIURATE SPA (CF: 01360850067) Ruolo: 01-MANDANTE
- ISTITUTO MODENESE DI VIGILANZA SRL (CF: 00551480361) Ruolo: 01-MANDANTE
- SECURDUCALE VIGILANZA SRL (CF: 02592110346) Ruolo: 01-MANDANTE
INTERNATIONAL SECURITY SERVICE VIGILANZA SPA (CF: 10169951000)
</t>
  </si>
  <si>
    <t>INTERNATIONAL SECURITY SERVICE VIGILANZA SPA (CF: 10169951000)</t>
  </si>
  <si>
    <t>Vigilanza privata - Lotto 7 (Umbria, Abruzzo, Marche)</t>
  </si>
  <si>
    <t xml:space="preserve">RAGGRUPPAMENTO:
- VIGILANZA UMBRA MONDIALPOL SPA (CF: 00623720547) Ruolo: 02-MANDATARIA
- FIFA SECURITY SRL (CF: 01792460444) Ruolo: 01-MANDANTE
- ITALPOL S.R.L. (CF: 01734860685) Ruolo: 01-MANDANTE
- VEDETTA 2 MONDIALPOL SPA (CF: 00780120135) Ruolo: 01-MANDANTE
INTERNATIONAL SECURITY SERVICE VIGILANZA SPA (CF: 10169951000)
</t>
  </si>
  <si>
    <t>Vigilanza privata - Lotto 2 (Liguria)</t>
  </si>
  <si>
    <t xml:space="preserve">RAGGRUPPAMENTO:
- SICURITALIA S.P.A (CF: 07897711003) Ruolo: 02-MANDATARIA
- G.I.VI. SRL (CF: 00879700102) Ruolo: 01-MANDANTE
- LA VIGILE S.R.L. (CF: 80049170105) Ruolo: 01-MANDANTE
- VIGILI DELL'ORDINE (CF: 01066360106) Ruolo: 01-MANDANTE
INTERNATIONAL SECURITY SERVICE VIGILANZA SPA (CF: 10169951000)
</t>
  </si>
  <si>
    <t>Vigilanza privata - Lotto 13 (Calabria, Basilicata)</t>
  </si>
  <si>
    <t xml:space="preserve">RAGGRUPPAMENTO:
- SICURTRANSPORT SPA (CF: 00119850824) Ruolo: 02-MANDATARIA
- LA RONDA  DEL MATERANO (CF: TRMCMN61L19G942E) Ruolo: 01-MANDANTE
- SICURCENTER SPA (CF: 03757540822) Ruolo: 01-MANDANTE
- VULTUR SECURITY (CF: 01820620761) Ruolo: 01-MANDANTE
RAGGRUPPAMENTO:
- ISTITUTO DI VIGILANZA PRIVATA " LA TORPEDINE SRL " (CF: 02479150787) Ruolo: 02-MANDATARIA
- FULL SERVICE SRL (CF: 01163580804) Ruolo: 01-MANDANTE
- ISTITUTO DI VIGILANZA L'AQUILA (CF: 00431980770) Ruolo: 01-MANDANTE
- ISTITUTO DI VIGILANZA LA TORRE S.R.L. (CF: 02985610654) Ruolo: 01-MANDANTE
RAGGRUPPAMENTO:
- ISTITUTO DI VIGILANZA PRIVATA A.N.C.R. SRL (CF: 00604960864) Ruolo: 02-MANDATARIA
- SOCIETA' COOPERATIVA VIGILANZA CITTA' DI POTENZA (CF: 00869740761) Ruolo: 01-MANDANTE
RAGGRUPPAMENTO:
- COSMOPOL BASILICATA S.R.L. (CF: 02893030649) Ruolo: 02-MANDATARIA
- CODIS SRL (CF: 02012980781) Ruolo: 01-MANDANTE
- ISTITUTO DI VIGILANZA EUROPOL S.R.L. (CF: 02100310800) Ruolo: 01-MANDANTE
- POL SERVICE SRL (CF: 03149710794) Ruolo: 01-MANDANTE
- VIGILANZA GRUPPO CORAS SRL (CF: 03660100789) Ruolo: 01-MANDANTE
INTERNATIONAL SECURITY SERVICE VIGILANZA SPA (CF: 10169951000)
</t>
  </si>
  <si>
    <t xml:space="preserve">RAGGRUPPAMENTO:
- COSMOPOL BASILICATA S.R.L. (CF: 02893030649) Ruolo: 02-MANDATARIA
- CODIS SRL (CF: 02012980781) Ruolo: 01-MANDANTE
- ISTITUTO DI VIGILANZA EUROPOL S.R.L. (CF: 02100310800) Ruolo: 01-MANDANTE
- POL SERVICE SRL (CF: 03149710794) Ruolo: 01-MANDANTE
- VIGILANZA GRUPPO CORAS SRL (CF: 03660100789) Ruolo: 01-MANDANTE
</t>
  </si>
  <si>
    <t>Fornitura di una base con n. 3 boccioni per erogatore di acqua senza collegamento a rete idrica presso la sede dellâ€™Agenzia delle Entrate di via Giorgione, 106</t>
  </si>
  <si>
    <t xml:space="preserve">ACQUAVIVA S.R.L. (CF: 03792180980)
</t>
  </si>
  <si>
    <t>Fornitura e posa in opera di un impianto di videosorveglianza al piano 6Â° e al piano terra e di una sbarra di uscita dal garage della sede dellâ€™Agenzia delle Entrate sita in Via Giorgione - telecamere aggiuntive</t>
  </si>
  <si>
    <t xml:space="preserve">CONTROLSECURITY SISTEMI DI SICUREZZA SRL (CF: 05187291009)
</t>
  </si>
  <si>
    <t>Fornitura e posa in opera di un impianto di videosorveglianza al piano 6Â° e al piano terra e di una sbarra di uscita dal garage della sede dellâ€™Agenzia delle Entrate sita in Via Giorgione</t>
  </si>
  <si>
    <t>Servizio di pulizia a ridotto impianto ambientale - Lotto 1 Piemonte e Val d'Aosta</t>
  </si>
  <si>
    <t xml:space="preserve">C.R. APPALTI SRL (CF: 04622851006)
CO.LA.COOP. CONSORZIO LAZIALE COOPERATIVE (CF: 06594220581)
CONSORZIO MERIDIONALE SERVIZI (CF: 01744050855)
GRATTACASO S.R.L. (CF: 00965350093)
MANITAL S.C.P.A.-CONSORZIO STABILE (CF: 06466050017)
</t>
  </si>
  <si>
    <t>GRATTACASO S.R.L. (CF: 00965350093)</t>
  </si>
  <si>
    <t>Servizio di pulizia a ridotto impianto ambientale - Lotto 2 Lombardia</t>
  </si>
  <si>
    <t xml:space="preserve">RAGGRUPPAMENTO:
- B.&amp; B. SERVICE SOCIETA' COOPERATIVA (CF: 01494430463) Ruolo: 02-MANDATARIA
- BONI SPA (CF: 02113890012) Ruolo: 01-MANDANTE
C.R. APPALTI SRL (CF: 04622851006)
CNS - CONSORZIO NAZIONALE SERVIZI SOCIETA COOPERATIVA (CF: 02884150588)
I.S.S.ITALIA S.R.L. (CF: 00215860289)
MANITAL S.C.P.A.-CONSORZIO STABILE (CF: 06466050017)
</t>
  </si>
  <si>
    <t xml:space="preserve">RAGGRUPPAMENTO:
- B.&amp; B. SERVICE SOCIETA' COOPERATIVA (CF: 01494430463) Ruolo: 02-MANDATARIA
- BONI SPA (CF: 02113890012) Ruolo: 01-MANDANTE
</t>
  </si>
  <si>
    <t>Servizio di pulizia a ridotto impianto ambientale - Lotto 3 Bolzano Trento Friuli Venezia Giulia Veneto</t>
  </si>
  <si>
    <t xml:space="preserve">C.R. APPALTI SRL (CF: 04622851006)
CM SERVICE SRL (CF: 08766390010)
GESTIONE SERVIZI INTEGRATI S.R.L. (CF: 09942990012)
MANITAL S.C.P.A.-CONSORZIO STABILE (CF: 06466050017)
TEAM SERVICE (CF: 07947601006)
</t>
  </si>
  <si>
    <t>C.R. APPALTI SRL (CF: 04622851006)</t>
  </si>
  <si>
    <t>servizio di pulizia a ridotto impatto ambientale per le sedi degli Uffici dell'AE - Lotto 5 (Toscana e Umbria)</t>
  </si>
  <si>
    <t xml:space="preserve">C.R. APPALTI SRL (CF: 04622851006)
GESTIONE SERVIZI INTEGRATI S.R.L. (CF: 09942990012)
MANITAL S.C.P.A.-CONSORZIO STABILE (CF: 06466050017)
MERANESE SERVIZI SPA (CF: 01648280210)
SE.G.I. S.R.L. (CF: 02559730789)
</t>
  </si>
  <si>
    <t>servizio di pulizia a ridotto impatto ambientale per le sedi degli Uffici dell'AE - Lotto 7 (Direzioni Centrali, Lazio, Sardegna)</t>
  </si>
  <si>
    <t xml:space="preserve">C.R. APPALTI SRL (CF: 04622851006)
GESTIONE SERVIZI INTEGRATI S.R.L. (CF: 09942990012)
LA MONDIAL S.R.L. (CF: 00486270630)
MERANESE SERVIZI SPA (CF: 01648280210)
TEAM SERVICE (CF: 07947601006)
</t>
  </si>
  <si>
    <t>Servizio di pulizia a ridotto impianto ambientale - Lotto 6 Abruzzo Marche</t>
  </si>
  <si>
    <t xml:space="preserve">RAGGRUPPAMENTO:
- MIORELLI SERVICE S.P.A. (CF: 00505590224) Ruolo: 02-MANDATARIA
- EURO &amp; PROMOS FM SOC.COOP.P.A. (CF: 02458660301) Ruolo: 01-MANDANTE
- PULITORI ED AFFINI - S.P.A. (CF: 02076190178) Ruolo: 01-MANDANTE
C.R. APPALTI SRL (CF: 04622851006)
CONSORZIO MERIDIONALE SERVIZI (CF: 01744050855)
LA LUCENTEZZA S.R.L. (CF: 03222370722)
TEAM SERVICE (CF: 07947601006)
</t>
  </si>
  <si>
    <t xml:space="preserve">RAGGRUPPAMENTO:
- MIORELLI SERVICE S.P.A. (CF: 00505590224) Ruolo: 02-MANDATARIA
- EURO &amp; PROMOS FM SOC.COOP.P.A. (CF: 02458660301) Ruolo: 01-MANDANTE
- PULITORI ED AFFINI - S.P.A. (CF: 02076190178) Ruolo: 01-MANDANTE
</t>
  </si>
  <si>
    <t>Servizio di pulizia a ridotto impianto ambientale - Lotto 8 Campania</t>
  </si>
  <si>
    <t xml:space="preserve">CM SERVICE SRL (CF: 08766390010)
I.S.S.ITALIA S.R.L. (CF: 00215860289)
LA LUCENTEZZA S.R.L. (CF: 03222370722)
MANITAL S.C.P.A.-CONSORZIO STABILE (CF: 06466050017)
SKILL SCARL (CF: 03854020280)
</t>
  </si>
  <si>
    <t>Servizio di pulizia a ridotto impatto ambientale - Lotto 9 Puglia e Molise</t>
  </si>
  <si>
    <t xml:space="preserve">RAGGRUPPAMENTO:
- SANTA BRIGIDA SOCIETA COOP.VA PER AZIONI (CF: 04161790631) Ruolo: 02-MANDATARIA
- RISANAMENTO VESUVIO S.A.S (CF: 04565950633) Ruolo: 01-MANDANTE
CM SERVICE SRL (CF: 08766390010)
COOPSERVICE S.COOP.P.A. (CF: 00310180351)
LA LUCENTEZZA S.R.L. (CF: 03222370722)
MANITAL S.C.P.A.-CONSORZIO STABILE (CF: 06466050017)
</t>
  </si>
  <si>
    <t xml:space="preserve">RAGGRUPPAMENTO:
- SANTA BRIGIDA SOCIETA COOP.VA PER AZIONI (CF: 04161790631) Ruolo: 02-MANDATARIA
- RISANAMENTO VESUVIO S.A.S (CF: 04565950633) Ruolo: 01-MANDANTE
</t>
  </si>
  <si>
    <t>Servizio di pulizia a ridotto impianto ambientale - Lotto 10 Calabria Sicilia</t>
  </si>
  <si>
    <t xml:space="preserve">RAGGRUPPAMENTO:
- EURO &amp; PROMOS FM SOC.COOP.P.A. (CF: 02458660301) Ruolo: 02-MANDATARIA
- MIORELLI SERVICE S.P.A. (CF: 00505590224) Ruolo: 01-MANDANTE
- PULITORI ED AFFINI - S.P.A. (CF: 02076190178) Ruolo: 01-MANDANTE
C.R. APPALTI SRL (CF: 04622851006)
CO.LA.COOP. CONSORZIO LAZIALE COOPERATIVE (CF: 06594220581)
CONSORZIO MERIDIONALE SERVIZI (CF: 01744050855)
MANITAL S.C.P.A.-CONSORZIO STABILE (CF: 06466050017)
</t>
  </si>
  <si>
    <t xml:space="preserve">RAGGRUPPAMENTO:
- EURO &amp; PROMOS FM SOC.COOP.P.A. (CF: 02458660301) Ruolo: 02-MANDATARIA
- MIORELLI SERVICE S.P.A. (CF: 00505590224) Ruolo: 01-MANDANTE
- PULITORI ED AFFINI - S.P.A. (CF: 02076190178) Ruolo: 01-MANDANTE
</t>
  </si>
  <si>
    <t>Servizio di pulizia a ridotto impianto ambientale - Lotto 8 Basilicata Campania (contratto per la Campania risolto il 10/03/2017 - decorrenza 2 maggio 2017)</t>
  </si>
  <si>
    <t xml:space="preserve">RAGGRUPPAMENTO:
- SANTA BRIGIDA SOCIETA COOP.VA PER AZIONI (CF: 04161790631) Ruolo: 02-MANDATARIA
- RISANAMENTO VESUVIO S.A.S (CF: 04565950633) Ruolo: 01-MANDANTE
CM SERVICE SRL (CF: 08766390010)
I.S.S.ITALIA S.R.L. (CF: 00215860289)
LA LUCENTEZZA S.R.L. (CF: 03222370722)
MANITAL S.C.P.A.-CONSORZIO STABILE (CF: 06466050017)
</t>
  </si>
  <si>
    <t>Servizio di spedizione a mezzo corriere (ramo d'azienda ceduto a Poste Italiane spa da SDA Express courier spa in data 01/10/2019)</t>
  </si>
  <si>
    <t xml:space="preserve">POSTE ITALIANE SPA (CF: 97103880585)
SDA EXPRESS COURIER SPA (CF: 02335990541)
</t>
  </si>
  <si>
    <t>POSTE ITALIANE SPA (CF: 97103880585)</t>
  </si>
  <si>
    <t>Servizio di sorveglianza sanitaria da parte del medico competente (art. 41 del D.Lgs. n. 81/2008) in favore dei dipendenti in servizio presso la sede centrale di via Giorgione n. 106 in Roma</t>
  </si>
  <si>
    <t xml:space="preserve">EFFATI HOMAYOUN (CF: FFTHYN66C21Z224P)
</t>
  </si>
  <si>
    <t>EFFATI HOMAYOUN (CF: FFTHYN66C21Z224P)</t>
  </si>
  <si>
    <t>Servizio di sorveglianza sanitaria da parte del medico competente (art. 41 del D.Lgs. n. 81/2008) in favore dei dipendenti in servizio presso la sede centrale di largo Leopardi n. 5 in Roma</t>
  </si>
  <si>
    <t xml:space="preserve">GALASSI VINCENZO (CF: GLSVCN52E30H501V)
</t>
  </si>
  <si>
    <t>GALASSI VINCENZO (CF: GLSVCN52E30H501V)</t>
  </si>
  <si>
    <t>Servizio di sorveglianza sanitaria da parte del medico competente (art. 41 del D.Lgs. n. 81/2008) in favore dei dipendenti in servizio presso le sedi centrali di via Giorgione n. 159 e via Licini n. 12 in Roma</t>
  </si>
  <si>
    <t xml:space="preserve">FILIPPELLI CHIARA (CF: FLPCHR70P45D708J)
</t>
  </si>
  <si>
    <t>FILIPPELLI CHIARA (CF: FLPCHR70P45D708J)</t>
  </si>
  <si>
    <t>Servizi di stampa e recapito della corrispondenza - Lotto 2 (Nord)</t>
  </si>
  <si>
    <t xml:space="preserve">RAGGRUPPAMENTO:
- NEXIVE SCARL (CF: 07868190963) Ruolo: 02-MANDATARIA
- DOXEE SPA (CF: 02714390362) Ruolo: 01-MANDANTE
- NEXIVE SPA (CF: 12383760159) Ruolo: 01-MANDANTE
POSTE ITALIANE SPA (CF: 97103880585)
</t>
  </si>
  <si>
    <t>Servizi di stampa e recapito della corrispondenza - Lotto 3 (Centro)</t>
  </si>
  <si>
    <t xml:space="preserve">RAGGRUPPAMENTO:
- NEXIVE SCARL (CF: 07868190963) Ruolo: 02-MANDATARIA
- CONSORZIO STABILE OLIMPO (CF: 05036060829) Ruolo: 01-MANDANTE
- DOXEE SPA (CF: 02714390362) Ruolo: 01-MANDANTE
- NEXIVE SPA (CF: 12383760159) Ruolo: 01-MANDANTE
POSTE ITALIANE SPA (CF: 97103880585)
</t>
  </si>
  <si>
    <t>Servizi di stampa e recapito della corrispondenza - Lotto 4 (Sud)</t>
  </si>
  <si>
    <t xml:space="preserve">RAGGRUPPAMENTO:
- NEXIVE SCARL (CF: 07868190963) Ruolo: 02-MANDATARIA
- CONSORZIO STABILE OLIMPO (CF: 05036060829) Ruolo: 01-MANDANTE
- NEXIVE SPA (CF: 12383760159) Ruolo: 01-MANDANTE
POSTE ITALIANE SPA (CF: 97103880585)
</t>
  </si>
  <si>
    <t xml:space="preserve">RAGGRUPPAMENTO:
- NEXIVE SCARL (CF: 07868190963) Ruolo: 02-MANDATARIA
- CONSORZIO STABILE OLIMPO (CF: 05036060829) Ruolo: 01-MANDANTE
- NEXIVE SPA (CF: 12383760159) Ruolo: 01-MANDANTE
</t>
  </si>
  <si>
    <t>Servizio di brokeraggio assicurativo per l'Agenzia delle Entrate</t>
  </si>
  <si>
    <t xml:space="preserve">RAGGRUPPAMENTO:
- ASSITECA INTERNAZIONALE DI BROKERAGGIO ASSICURATIVO SPA (CF: 09743130156) Ruolo: 02-MANDATARIA
- ITALBROKERS SPA (CF: 08536311007) Ruolo: 01-MANDANTE
AON SPA (CF: 10203070155)
CONSULBROKERS SPA (CF: 00970250767)
MARSH SPA (CF: 01699520159)
WILLIS ITALIA SPA (CF: 03902220486)
</t>
  </si>
  <si>
    <t>WILLIS ITALIA SPA (CF: 03902220486)</t>
  </si>
  <si>
    <t>Manutenzione degli impianti antintrusione, videosorveglianza e controllo accessi delle sedi centrali dell'Agenzia</t>
  </si>
  <si>
    <t xml:space="preserve">DA.MA. IMPIANTI SRL (CF: 02698090798)
DAB SISTEMI INTEGRATI SRL (CF: 00971430582)
DABBICCO TELECOMUNICAZIONI S.R.L. (CF: 04952540724)
DADA SRL (CF: 01686990704)
DAF SRL (CF: 04606420653)
</t>
  </si>
  <si>
    <t>DAB SISTEMI INTEGRATI SRL (CF: 00971430582)</t>
  </si>
  <si>
    <t>Servizio di pulizia, spurgo, smaltimento e video ispezione dei sistemi fognari da effettuarsi presso le strutture centrali dellâ€™Agenzia delle Entrate</t>
  </si>
  <si>
    <t xml:space="preserve">ITALSPURGO MULTI-SERVICES SRL (CF: 12879171002)
</t>
  </si>
  <si>
    <t>ITALSPURGO MULTI-SERVICES SRL (CF: 12879171002)</t>
  </si>
  <si>
    <t>Servizio di verifica ai sensi del d.p.r. 426/01 art.4 degli impianti di messa a terra presso le sedi dellâ€™Agenzia delle Entrate di Roma, via Giorgione,159</t>
  </si>
  <si>
    <t xml:space="preserve">CNIM SRL (CF: 06119361001)
</t>
  </si>
  <si>
    <t>CNIM SRL (CF: 06119361001)</t>
  </si>
  <si>
    <t>Aggiornamento del software di telegestione X Vision 6.0 per la telegestione dellâ€™impianto di illuminazione della sede di Via Giorgione 159</t>
  </si>
  <si>
    <t xml:space="preserve">ARCHIMEDE SRL (CF: 01515900593)
</t>
  </si>
  <si>
    <t>ARCHIMEDE SRL (CF: 01515900593)</t>
  </si>
  <si>
    <t>Servizi di riscossione tributi con modalitÃ  elettroniche e di ritiro valori presso gli Uffici dell'Agenzia delle Entrate-Territorio - Lotto 1</t>
  </si>
  <si>
    <t xml:space="preserve">BANCA NAZIONALE DEL LAVORO SPA (CF: 09339391006)
</t>
  </si>
  <si>
    <t>BANCA NAZIONALE DEL LAVORO SPA (CF: 09339391006)</t>
  </si>
  <si>
    <t>Servizi di riscossione tributi con modalitÃ  elettroniche e di ritiro valori presso gli Uffici dell'Agenzia delle Entrate-Territorio - Lotto 2</t>
  </si>
  <si>
    <t>Servizi di riscossione tributi con modalitÃ  elettroniche e di ritiro valori presso gli Uffici dell'Agenzia delle Entrate-Territorio - Lotto 3</t>
  </si>
  <si>
    <t>Lavori di manutenzione straordinaria per l'adeguamento antincendio del locale archivio n. 3 presso la sede di Largo Leopardi</t>
  </si>
  <si>
    <t xml:space="preserve">CO.GE.CO. COSTRUZIONI E APPALTI SRL (CF: 02820000608)
COMAFE SRL (CF: 11957391003)
CRISTINI P. &amp; M. IMPIANTI TECNOLOGICI SRL (CF: 02369580606)
ROMANA STRADE SRL (CF: 00912171006)
STANGANELLI LUCIANO (CF: STNLCN61P08H501I)
</t>
  </si>
  <si>
    <t>CRISTINI P. &amp; M. IMPIANTI TECNOLOGICI SRL (CF: 02369580606)</t>
  </si>
  <si>
    <t>Noleggio autovettura Fiat Ducato Dr Veneto</t>
  </si>
  <si>
    <t>Adeguamento del Gruppo elettrogeno ai fini della presentazione della Scia antincendio</t>
  </si>
  <si>
    <t xml:space="preserve">TECNOGRUPPI SRL (CF: 12653101001)
</t>
  </si>
  <si>
    <t>TECNOGRUPPI SRL (CF: 12653101001)</t>
  </si>
  <si>
    <t>Sistema leggi d'Italia - Edilizia e Urbanistica</t>
  </si>
  <si>
    <t>Affidamento in concessione del servizio di installazione e gestione di distributori automatici presso alcune sedi dell'Agenzia delle Entrate - Lotto 1</t>
  </si>
  <si>
    <t xml:space="preserve">GRUPPO ARGENTA S.P.A. (CF: 01870980362)
IVS ITALIA S.P.A. (CF: 03320270162)
</t>
  </si>
  <si>
    <t>IVS ITALIA S.P.A. (CF: 03320270162)</t>
  </si>
  <si>
    <t>Affidamento in concessione del servizio di installazione e gestione di distributori automatici presso alcune sedi dell'Agenzia delle Entrate - Lotto 2</t>
  </si>
  <si>
    <t xml:space="preserve">GRUPPO ARGENTA S.P.A. (CF: 01870980362)
IVS ITALIA S.P.A. (CF: 03320270162)
SUPERMATIC S.P.A. (CF: 04817720487)
</t>
  </si>
  <si>
    <t>Affidamento in concessione del servizio di installazione e gestione di distributori automatici presso alcune sedi dell'Agenzia delle Entrate - Lotto 3</t>
  </si>
  <si>
    <t xml:space="preserve">RAGGRUPPAMENTO:
- IL KIKKO S.R.L. (CF: 11719191006) Ruolo: 02-MANDATARIA
- CIPRIETTI VENDING SRL (CF: 00812200673) Ruolo: 01-MANDANTE
- DAM SRL (CF: 01188010423) Ruolo: 01-MANDANTE
- VENTURI VENDING S.R.L. (CF: 01205780552) Ruolo: 01-MANDANTE
RAGGRUPPAMENTO:
- GE.SE.R. GESTIONE SERVIZI DI RISTORAZIONE SRL (CF: 04962121002) Ruolo: 02-MANDATARIA
- SIGMA S.R.L. (CF: 03250230632) Ruolo: 01-MANDANTE
GRUPPO ARGENTA S.P.A. (CF: 01870980362)
IVS ITALIA S.P.A. (CF: 03320270162)
ROMA DISTRIBUZIONE 2003 SRL (CF: 07643281004)
</t>
  </si>
  <si>
    <t>Affidamento in concessione del servizio di installazione e gestione di distributori automatici presso alcune sedi dell'Agenzia delle Entrate - Lotto 4</t>
  </si>
  <si>
    <t xml:space="preserve">IVS ITALIA S.P.A. (CF: 03320270162)
SIGMA S.R.L. (CF: 03250230632)
SO.ME.D S.P.A. (CF: 04123000723)
</t>
  </si>
  <si>
    <t>Affidamento in concessione del servizio di installazione e gestione di distributori automatici presso alcune sedi dell'Agenzia delle Entrate - Lotto 5</t>
  </si>
  <si>
    <t>Affidamento in concessione del servizio di installazione e gestione di distributori automatici presso alcune sedi dell'Agenzia delle Entrate - Lotto 6</t>
  </si>
  <si>
    <t xml:space="preserve">IVS ITALIA S.P.A. (CF: 03320270162)
STIMA SRL (CF: 03695410872)
</t>
  </si>
  <si>
    <t>Pubblicazione aggiudicazione</t>
  </si>
  <si>
    <t>Servizi di stampa e recapito della corrispondenza - Lotto 1 (Stampa ed imbustamento)</t>
  </si>
  <si>
    <t xml:space="preserve">GRAPHICSCALVE S.P.A. (CF: 01294980162)
LEADERFORM SPA (CF: 02696070230)
NEXIVE SPA (CF: 12383760159)
POSTEL SPA (CF: 04839740489)
SELECTA SPA (CF: 01961900246)
</t>
  </si>
  <si>
    <t>Vigilanza privata - Lotto 10 (DC/DG) - Contratto esecutivo</t>
  </si>
  <si>
    <t xml:space="preserve">CSM GLOBAL SECURITY SERVICE SRL (CF: 12748521007)
</t>
  </si>
  <si>
    <t>Vigilanza e reception presso le sedi della Direzione Regionale Lazio - Lotto 2</t>
  </si>
  <si>
    <t xml:space="preserve">RAGGRUPPAMENTO:
- CITTA' DI ROMA METRONOTTE SOCIETA' COOPERATIVA (CF: 03707541003) Ruolo: 04-CAPOGRUPPO
- METROSERVICE (CF: 09802301003) Ruolo: 05-CONSORZIATA
RAGGRUPPAMENTO:
- ISTITUTO VIGILANZA ARGO S.R.L. (CF: 04995770585) Ruolo: 02-MANDATARIA
- KSM SERVICE SRL (CF: 05580970829) Ruolo: 01-MANDANTE
RAGGRUPPAMENTO:
- ITALPOL VIGILANZA S.R.L. (CF: 05849251003) Ruolo: 02-MANDATARIA
- ITALSERVIZI 2007 S.R.L (CF: 09322791006) Ruolo: 01-MANDANTE
ISTITUTO DI VIGILANZA DELL'URBE S.P.A. (CF: 05800441007)
SECURITY SERVICE SRL (CF: 04607470582)
</t>
  </si>
  <si>
    <t xml:space="preserve">RAGGRUPPAMENTO:
- ISTITUTO VIGILANZA ARGO S.R.L. (CF: 04995770585) Ruolo: 02-MANDATARIA
- KSM SERVICE SRL (CF: 05580970829) Ruolo: 01-MANDANTE
</t>
  </si>
  <si>
    <t>Codice inserzione 2000031028 - Avviso revoca gara break point</t>
  </si>
  <si>
    <t>Gasolio autotrazione per cisterna gruppo elettrogeno Giorgione 106</t>
  </si>
  <si>
    <t xml:space="preserve">ENI FUEL S.P.A. (CF: 02701740108)
</t>
  </si>
  <si>
    <t>ENI FUEL S.P.A. (CF: 02701740108)</t>
  </si>
  <si>
    <t>Servizio di pesatura di fogli di carta</t>
  </si>
  <si>
    <t xml:space="preserve">S.T.I. SVILUPPO TECNOLOGIE INDUSTRIALI SRL (CF: 01862150602)
</t>
  </si>
  <si>
    <t>S.T.I. SVILUPPO TECNOLOGIE INDUSTRIALI SRL (CF: 01862150602)</t>
  </si>
  <si>
    <t>Servizio di copertura radiomobile indoor delle sedi della Direzione Centrale dellâ€™Agenzia delle Entrate in Roma, Via Giorgione n. 106 e n. 159</t>
  </si>
  <si>
    <t>Acquisto di Scan detector a tecnologia radiogena e portali per il controllo persone e manutenzione pluriennale per le Direzioni Centrali</t>
  </si>
  <si>
    <t xml:space="preserve">CRG SAS (CF: 07461911211)
EUROSISTEMI (CF: 05762130580)
GILARDONI SPA (CF: 00734000151)
MICROCONTROL ELECTRONIC SRL (CF: 08872790152)
SECURITALY SRL (CF: 03558340406)
</t>
  </si>
  <si>
    <t>SECURITALY SRL (CF: 03558340406)</t>
  </si>
  <si>
    <t>Manutenzione degli impianti elettrici, impianti speciali e rete dati presso le sedi delle Direzioni Centrali</t>
  </si>
  <si>
    <t xml:space="preserve">BURLANDI FRANCO SRL (CF: 04571101007)
CAMERRA SILVANO SRL (CF: 01623030242)
EFFE GROUP SRL (CF: 08688211005)
LINEA ITALIANA SRL (CF: 01497060358)
OSMA SRL (CF: 01971090038)
</t>
  </si>
  <si>
    <t>BURLANDI FRANCO SRL (CF: 04571101007)</t>
  </si>
  <si>
    <t xml:space="preserve">EPC PERIODICI SRL (CF: 08703161003)
</t>
  </si>
  <si>
    <t>EPC PERIODICI SRL (CF: 08703161003)</t>
  </si>
  <si>
    <t>Servizi per l'espletamento delle procedure selettive per l'assunzione a tempo indeterminato di personale per le esigenze degli Uffici dell'Agenzia nel triennio 2020-2022</t>
  </si>
  <si>
    <t xml:space="preserve">E-WORK SPA (CF: 13063380151)
MERITO SRL (CF: 02290620992)
SCANSHARE SRL (CF: 03118780786)
SELEXI S.R.L. (CF: 12852900153)
</t>
  </si>
  <si>
    <t>MERITO SRL (CF: 02290620992)</t>
  </si>
  <si>
    <t>Servizi di trasferimento e trasporto di documentazione e di gestione documentale presso il Centro di Gestione Documentale</t>
  </si>
  <si>
    <t xml:space="preserve">CONSORZIO GE.SE.AV. (CF: 01843430560)
COOPSERVICE S.COOP.P.A. (CF: 00310180351)
</t>
  </si>
  <si>
    <t>CONSORZIO GE.SE.AV. (CF: 01843430560)</t>
  </si>
  <si>
    <t>Fornitura di barriere protettive personalizzate con logo</t>
  </si>
  <si>
    <t>Installazione di un sistema di controllo accessi nei locali archivi al piano secondo seminterrato delle sedi di via Giorgione</t>
  </si>
  <si>
    <t xml:space="preserve">BARISON SERVIZI S.R.L. (CF: 02973720275)
CSA S.R.L. (CF: 01791810672)
ITC SRL (CF: 07003151003)
MG ENGINEERING S.R.L. (CF: 04025780752)
RIAL SRL (CF: 01489610996)
</t>
  </si>
  <si>
    <t>ITC SRL (CF: 07003151003)</t>
  </si>
  <si>
    <t>Fornitura di un pannello operatore Siemens PXM20 per l'immobile di via Giorgione 106</t>
  </si>
  <si>
    <t xml:space="preserve">SIEMENS SPA (CF: 00751160151)
</t>
  </si>
  <si>
    <t>SIEMENS SPA (CF: 00751160151)</t>
  </si>
  <si>
    <t>Consultazione banca dati di analisi fiscale globale</t>
  </si>
  <si>
    <t xml:space="preserve">BUREAU VAN DIJK EDIZIONI ELETTRONICHE SPA (CF: 11139860156)
</t>
  </si>
  <si>
    <t>BUREAU VAN DIJK EDIZIONI ELETTRONICHE SPA (CF: 11139860156)</t>
  </si>
  <si>
    <t>Corsi di formazione per RSPP e ASPP</t>
  </si>
  <si>
    <t xml:space="preserve">AMBIENTE WORK ENGINEERING S.R.L. (CF: 01772580666)
</t>
  </si>
  <si>
    <t>AMBIENTE WORK ENGINEERING S.R.L. (CF: 01772580666)</t>
  </si>
  <si>
    <t>Corso Metriche del software con Early &amp; Quick Function Point</t>
  </si>
  <si>
    <t xml:space="preserve">DATA PROCESSING ORGANIZATION SRL (CF: 00492630587)
</t>
  </si>
  <si>
    <t>DATA PROCESSING ORGANIZATION SRL (CF: 00492630587)</t>
  </si>
  <si>
    <t>Fornitura toner per stampanti</t>
  </si>
  <si>
    <t xml:space="preserve">DPS INFORMATICA S.N.C. DI PRESELLO GIANNI &amp; C. (CF: 01486330309)
</t>
  </si>
  <si>
    <t>DPS INFORMATICA S.N.C. DI PRESELLO GIANNI &amp; C. (CF: 01486330309)</t>
  </si>
  <si>
    <t>Fornitura di apparecchi di illuminazione a led marca Disano 844 Compact CRI95 â€“ 245 mm</t>
  </si>
  <si>
    <t xml:space="preserve">FABBI IMOLA SRL (CF: 02381890371)
</t>
  </si>
  <si>
    <t>FABBI IMOLA SRL (CF: 02381890371)</t>
  </si>
  <si>
    <t>Facchinaggio, trasporto e trasloco a ridotto impatto ambientale per le sedi degli Uffici Centrali</t>
  </si>
  <si>
    <t xml:space="preserve">CONSORZIO TRASPORTI SPEDIZIONI LOGISTICA SOC. COOP. (CF: 13795321002)
</t>
  </si>
  <si>
    <t>CONSORZIO TRASPORTI SPEDIZIONI LOGISTICA SOC. COOP. (CF: 13795321002)</t>
  </si>
  <si>
    <t>Abbonamento di n. 2 utenze SmartNet NRTK FULL GNSS Unlimited</t>
  </si>
  <si>
    <t xml:space="preserve">LEICA GEOSYSTEMS SPA (CF: 12090330155)
</t>
  </si>
  <si>
    <t>LEICA GEOSYSTEMS SPA (CF: 12090330155)</t>
  </si>
  <si>
    <t>Servizio di traduzione di taluni atti giuridico-fiscali e di revisione di documenti redatti in lingua inglese per le esigenze dellâ€™Agenzia delle Entrate</t>
  </si>
  <si>
    <t xml:space="preserve">MILANO TRADUZIONI S.A.S. DI ANNA RECHNOVA &amp; C. (CF: 08001080962)
</t>
  </si>
  <si>
    <t>MILANO TRADUZIONI S.A.S. DI ANNA RECHNOVA &amp; C. (CF: 08001080962)</t>
  </si>
  <si>
    <t>Fornitura toner originali per stampanti HP pagewide pro MFP 477 dw</t>
  </si>
  <si>
    <t>Noleggio Fiat Tipo SEDAN - MOLISE</t>
  </si>
  <si>
    <t>Servizio Cloud SaaS di videocomunicazione</t>
  </si>
  <si>
    <t xml:space="preserve">G.E.@COM SRL (CF: 13251800150)
HITEC SRL (CF: 03479310546)
LIZARD SRL (CF: 01867040220)
NEWSIDE SRL (CF: 01577440330)
VIDEOLIFE SRL (CF: 11540941009)
</t>
  </si>
  <si>
    <t>Pulizia e lâ€™igienizzazione dei filtri, delle batterie di circa 260 fan-coil</t>
  </si>
  <si>
    <t>Servizio di trasporto e smaltimento di rifiuti presso discarica autorizzata</t>
  </si>
  <si>
    <t xml:space="preserve">LAZIO MACERI SRL (CF: 03505570584)
</t>
  </si>
  <si>
    <t>LAZIO MACERI SRL (CF: 03505570584)</t>
  </si>
  <si>
    <t>Fornitura e posa in opera tende</t>
  </si>
  <si>
    <t xml:space="preserve">MANCINELLI TENDE SRL (CF: 12484031005)
</t>
  </si>
  <si>
    <t>MANCINELLI TENDE SRL (CF: 12484031005)</t>
  </si>
  <si>
    <t>NOLEGGIO FIAT TIPO SEDAN - VALLE D'AOSTA</t>
  </si>
  <si>
    <t>NOLEGGIO FIAT TIPO SEDAN 1.6 - DR SARDEGNA</t>
  </si>
  <si>
    <t>Fornitura termoscanner</t>
  </si>
  <si>
    <t>Cartelli segnaletici a muro di indicazione area videosorvegliata</t>
  </si>
  <si>
    <t xml:space="preserve">CSR DI T. D'AMBROSIO (CF: DMBTSN68R59A294N)
</t>
  </si>
  <si>
    <t>CSR DI T. D'AMBROSIO (CF: DMBTSN68R59A294N)</t>
  </si>
  <si>
    <t>Fornitura di cuffie telefoniche e adattatori per gli Uffici di Assistenza Multicanale</t>
  </si>
  <si>
    <t xml:space="preserve">ADPARTNERS SRL (CF: 03340710270)
C2 SRL (CF: 01121130197)
COMITEL SRL (CF: 01928900230)
DPS INFORMATICA S.N.C. DI PRESELLO GIANNI &amp; C. (CF: 01486330309)
TEAM OFFICE SRL (CF: 04272801004)
</t>
  </si>
  <si>
    <t>TEAM OFFICE SRL (CF: 04272801004)</t>
  </si>
  <si>
    <t>Fornitura di n. 3200 block notes per le esigenze delle Direzioni Centrali</t>
  </si>
  <si>
    <t xml:space="preserve">HOUSE OFFICE SRL (CF: 12848591009)
</t>
  </si>
  <si>
    <t>Fornitura di n. 2 abbonamenti alla rivista on line Cassazione.net</t>
  </si>
  <si>
    <t xml:space="preserve">CASSAZIONE SRL (CF: 06810661006)
</t>
  </si>
  <si>
    <t>CASSAZIONE SRL (CF: 06810661006)</t>
  </si>
  <si>
    <t>Fornitura e posa in opera balaustra</t>
  </si>
  <si>
    <t xml:space="preserve">PROGETTO INFISSI SRL (CF: 11345551003)
</t>
  </si>
  <si>
    <t>PROGETTO INFISSI SRL (CF: 11345551003)</t>
  </si>
  <si>
    <t>Fornitura e installazione della Centrale Antincendio della sede centrale dellâ€™Agenzia delle Entrate di Via Giorgione n. 159</t>
  </si>
  <si>
    <t xml:space="preserve">AIR FIRE (CF: 01526921000)
</t>
  </si>
  <si>
    <t>AIR FIRE (CF: 01526921000)</t>
  </si>
  <si>
    <t>Verifica con rilascio del certificato antiribaltamento dei compattati dellâ€™archivio n.3 di largo Leopardi</t>
  </si>
  <si>
    <t xml:space="preserve">ICAM SRL (CF: 03685780722)
</t>
  </si>
  <si>
    <t>ICAM SRL (CF: 03685780722)</t>
  </si>
  <si>
    <t>Acquisizione di n. 70.000 mascherine chirurgiche monouso</t>
  </si>
  <si>
    <t xml:space="preserve">FAB SPA (CF: 02850580172)
</t>
  </si>
  <si>
    <t>FAB SPA (CF: 02850580172)</t>
  </si>
  <si>
    <t>Codice inserzione 2000039459 - Avviso Aggiudicazione Facchinaggio</t>
  </si>
  <si>
    <t>Accordo quadro per la fornitura di gel disinfettante mani e relativi dispenser erogatori per le esigenze dellâ€™Agenzia delle Entrate e dellâ€™Agenzia delle entrate-Riscossione</t>
  </si>
  <si>
    <t xml:space="preserve">LA LUNA SRL (CF: 01380740629)
PEFIM SRL A SOCIO UNICO (CF: 06633741217)
S.I.R.F. CONSULTING SRL  (CF: 05805570651)
SEA MARCONI MATERIALS SRL (CF: 11484760019)
</t>
  </si>
  <si>
    <t>LA LUNA SRL (CF: 01380740629)</t>
  </si>
  <si>
    <t>Ordinativo di fornitura gel disinfettante mani e relativi dispenser erogatori per le esigenze dellâ€™Agenzia delle Entrate</t>
  </si>
  <si>
    <t xml:space="preserve">LA LUNA SRL (CF: 01380740629)
</t>
  </si>
  <si>
    <t xml:space="preserve">PEFIM SRL A SOCIO UNICO (CF: 06633741217)
</t>
  </si>
  <si>
    <t>PEFIM SRL A SOCIO UNICO (CF: 06633741217)</t>
  </si>
  <si>
    <t xml:space="preserve">SEA MARCONI MATERIALS SRL (CF: 11484760019)
</t>
  </si>
  <si>
    <t>SEA MARCONI MATERIALS SRL (CF: 11484760019)</t>
  </si>
  <si>
    <t>abbonamenti</t>
  </si>
  <si>
    <t xml:space="preserve">ITALIA OGGI EDITORI - ERINNE SRL (CF: 10277500152)
</t>
  </si>
  <si>
    <t>ITALIA OGGI EDITORI - ERINNE SRL (CF: 10277500152)</t>
  </si>
  <si>
    <t>Accordo quadro per la fornitura di gel disinfettante mani e relativi dispenser erogatori per le esigenze dellâ€™Agenzia delle Entrate</t>
  </si>
  <si>
    <t>Fornitura di termoconvettori mobili</t>
  </si>
  <si>
    <t xml:space="preserve">DEALTEK SNC (CF: 15636211003)
</t>
  </si>
  <si>
    <t>DEALTEK SNC (CF: 15636211003)</t>
  </si>
  <si>
    <t>Noleggio FIAT TIPO SEDAN</t>
  </si>
  <si>
    <t>Servizio di prova di grammatura di campioni di fogli di carta per fotocopie</t>
  </si>
  <si>
    <t xml:space="preserve">LUCENSE SCARL (CF: 01111910467)
</t>
  </si>
  <si>
    <t>LUCENSE SCARL (CF: 01111910467)</t>
  </si>
  <si>
    <t>NOLEGGIO FIAT TIPO SEDAN 1.6 MJ - SICILIA</t>
  </si>
  <si>
    <t>NOLEGGIO FIAT TIPO SEDAN 1.6 MJT - DC</t>
  </si>
  <si>
    <t>Servizio di rassegna stampa e monitoraggio programmi TV e radio</t>
  </si>
  <si>
    <t xml:space="preserve">DATA STAMPA SRL (CF: 04982350581)
</t>
  </si>
  <si>
    <t>Abbonamento digitale</t>
  </si>
  <si>
    <t xml:space="preserve">RCS MEDIAGROUP S.P.A. (CF: 12086540155)
</t>
  </si>
  <si>
    <t>RCS MEDIAGROUP S.P.A. (CF: 12086540155)</t>
  </si>
  <si>
    <t>Gasolio da riscaldamento Nov/Dic 2020 - Giorgione 159</t>
  </si>
  <si>
    <t>Gasolio da riscaldamento Nov/Dic 2020 - sede Largo Leopardi</t>
  </si>
  <si>
    <t>Fornitura di carta per stampe e copie per le Direzioni Centrali ed alcune Direzioni Regionali dellâ€™Agenzia delle entrate - Lotto n. 8 (DR Lazio e Direzioni Centrali)</t>
  </si>
  <si>
    <t xml:space="preserve">CCG SRL (CF: 03351040583)
ICR - SOCIETA' PER AZIONI (CF: 05466391009)
LYRECO ITALIA SRL (CF: 11582010150)
VALSECCHI CANCELLERIA SRL (CF: 09521810961)
</t>
  </si>
  <si>
    <t>ICR - SOCIETA' PER AZIONI (CF: 05466391009)</t>
  </si>
  <si>
    <t>Traduzione giurata di atto redatto in lingua inglese per le esigenze dellâ€™Agenzia delle Entrate</t>
  </si>
  <si>
    <t>Visite mediche per gli autisti delle Direzioni Centrali dellâ€™Agenzia delle Entrate</t>
  </si>
  <si>
    <t xml:space="preserve">CAN.BI.AS LAB. ANALISI CLINICHE CARAVAGGIO S.R.L. (CF: 02067430583)
</t>
  </si>
  <si>
    <t>CAN.BI.AS LAB. ANALISI CLINICHE CARAVAGGIO S.R.L. (CF: 02067430583)</t>
  </si>
  <si>
    <t xml:space="preserve">LEGISLAZIONE TECNICA S.R.L. (CF: 05383391009)
</t>
  </si>
  <si>
    <t>LEGISLAZIONE TECNICA S.R.L. (CF: 05383391009)</t>
  </si>
  <si>
    <t xml:space="preserve">MAGGIOLI S.P.A. (CF: 06188330150)
</t>
  </si>
  <si>
    <t>MAGGIOLI S.P.A. (CF: 06188330150)</t>
  </si>
  <si>
    <t xml:space="preserve">EPC SRL (CF: 00390310589)
</t>
  </si>
  <si>
    <t>EPC SRL (CF: 00390310589)</t>
  </si>
  <si>
    <t>Servizio di spedizione a mezzo corriere</t>
  </si>
  <si>
    <t xml:space="preserve">CITYPOST SPA (CF: 01528040502)
POSTE ITALIANE SPA (CF: 97103880585)
PSD 1861 EXPRESS SRL (CF: 02283430904)
SOCISEC SRL (CF: 04827900657)
SPEDIREROMA SRL (CF: 10845781003)
</t>
  </si>
  <si>
    <t>Adesione per lâ€™anno 2021 al Programma Corporate Membership</t>
  </si>
  <si>
    <t>Assegnazione codifica DOI - Anno 2021</t>
  </si>
  <si>
    <t>Acquisto di n. 300 flaconcini tascabili di gel igienizzante</t>
  </si>
  <si>
    <t xml:space="preserve">FARMACIA MARCHETTI MARIO (CF: MRCMRA52E26C309B)
</t>
  </si>
  <si>
    <t>FARMACIA MARCHETTI MARIO (CF: MRCMRA52E26C309B)</t>
  </si>
  <si>
    <t>Acquisizione di mascherine FFP2 senza valvola</t>
  </si>
  <si>
    <t xml:space="preserve">FARMACIA SCANDELLARI DR. ALESSANDRO (CF: SCNLSN47E11F642V)
</t>
  </si>
  <si>
    <t>FARMACIA SCANDELLARI DR. ALESSANDRO (CF: SCNLSN47E11F642V)</t>
  </si>
  <si>
    <t>Contratto normativo per lâ€™affidamento della fornitura di carta per stampe e copie per le Direzioni Centrali ed alcune Direzioni Regionali dellâ€™Agenzia delle entrate - Lotto n. 1 (DR Piemonte e DR Liguria)</t>
  </si>
  <si>
    <t xml:space="preserve">CCG SRL (CF: 03351040583)
LYRECO ITALIA SRL (CF: 11582010150)
VALSECCHI CANCELLERIA SRL (CF: 09521810961)
</t>
  </si>
  <si>
    <t>VALSECCHI CANCELLERIA SRL (CF: 09521810961)</t>
  </si>
  <si>
    <t>Contratto normativo per lâ€™affidamento della fornitura di carta per stampe e copie per le Direzioni Centrali ed alcune Direzioni Regionali dellâ€™Agenzia delle entrate - Lotto n. 2 (DR Lombardia)</t>
  </si>
  <si>
    <t xml:space="preserve">LYRECO ITALIA SRL (CF: 11582010150)
VALSECCHI CANCELLERIA SRL (CF: 09521810961)
</t>
  </si>
  <si>
    <t>Contratto normativo per lâ€™affidamento della fornitura di carta per stampe e copie per le Direzioni Centrali ed alcune Direzioni Regionali dellâ€™Agenzia delle entrate - Lotto n.4 (DR Friuli Venezia Giulia)</t>
  </si>
  <si>
    <t xml:space="preserve">CIGAINA S.R.L. (CF: 02576260307)
LYRECO ITALIA SRL (CF: 11582010150)
VALSECCHI CANCELLERIA SRL (CF: 09521810961)
</t>
  </si>
  <si>
    <t>Contratto normativo per lâ€™affidamento della fornitura di carta per stampe e copie per le Direzioni Centrali ed alcune Direzioni Regionali dellâ€™Agenzia delle entrate - Lotto n.5 (DR Emilia Romagna</t>
  </si>
  <si>
    <t xml:space="preserve">APAPER SRL (CF: 03432931206)
ICR - SOCIETA' PER AZIONI (CF: 05466391009)
LYRECO ITALIA SRL (CF: 11582010150)
VALSECCHI CANCELLERIA SRL (CF: 09521810961)
</t>
  </si>
  <si>
    <t>Contratto normativo per lâ€™affidamento della fornitura di carta per stampe e copie per le Direzioni Centrali ed alcune Direzioni Regionali dellâ€™Agenzia delle entrate - Lotto n.6 (DR Marche)</t>
  </si>
  <si>
    <t>Contratto normativo per lâ€™affidamento della fornitura di carta per stampe e copie per le Direzioni Centrali ed alcune Direzioni Regionali dellâ€™Agenzia delle entrate - Lotto n.13 (DR Sardegna)</t>
  </si>
  <si>
    <t xml:space="preserve">ICR - SOCIETA' PER AZIONI (CF: 05466391009)
VALSECCHI CANCELLERIA SRL (CF: 09521810961)
</t>
  </si>
  <si>
    <t>Contratto normativo per lâ€™affidamento della fornitura di carta per stampe e copie per le Direzioni Centrali ed alcune Direzioni Regionali dellâ€™Agenzia delle entrate - Lotto n. 3 (DR Veneto)</t>
  </si>
  <si>
    <t>LYRECO ITALIA SRL (CF: 11582010150)</t>
  </si>
  <si>
    <t>Contratto normativo per lâ€™affidamento della fornitura di carta per stampe e copie per le Direzioni Centrali ed alcune Direzioni Regionali dellâ€™Agenzia delle entrate - Lotto n. 7 (DR Toscana)</t>
  </si>
  <si>
    <t xml:space="preserve">APAPER SRL (CF: 03432931206)
CCG SRL (CF: 03351040583)
ICR - SOCIETA' PER AZIONI (CF: 05466391009)
LYRECO ITALIA SRL (CF: 11582010150)
VALSECCHI CANCELLERIA SRL (CF: 09521810961)
</t>
  </si>
  <si>
    <t>CCG SRL (CF: 03351040583)</t>
  </si>
  <si>
    <t>Contratto normativo per lâ€™affidamento della fornitura di carta per stampe e copie per le Direzioni Centrali ed alcune Direzioni Regionali dellâ€™Agenzia delle entrate - Lotto n. 9 (DR Abruzzo)</t>
  </si>
  <si>
    <t xml:space="preserve">ICR - SOCIETA' PER AZIONI (CF: 05466391009)
LYRECO ITALIA SRL (CF: 11582010150)
VALSECCHI CANCELLERIA SRL (CF: 09521810961)
</t>
  </si>
  <si>
    <t>Contratto normativo per lâ€™affidamento della fornitura di carta per stampe e copie per le Direzioni Centrali ed alcune Direzioni Regionali dellâ€™Agenzia delle entrate - Lotto n. 10 (DR Campania)</t>
  </si>
  <si>
    <t>Contratto normativo per lâ€™affidamento della fornitura di carta per stampe e copie per le Direzioni Centrali ed alcune Direzioni Regionali dellâ€™Agenzia delle entrate - Lotto n. 11 (DR Calabria)</t>
  </si>
  <si>
    <t>Contratto normativo per lâ€™affidamento della fornitura di carta per stampe e copie per le Direzioni Centrali ed alcune Direzioni Regionali dellâ€™Agenzia delle entrate - Lotto n. 12 (DR Puglia)</t>
  </si>
  <si>
    <t>Contratto normativo per lâ€™affidamento della fornitura di carta per stampe e copie per le Direzioni Centrali ed alcune Direzioni Regionali dellâ€™Agenzia delle entrate - Lotto n. 14 (DR Sicilia)</t>
  </si>
  <si>
    <t>Adesione dellâ€™Agenzia delle Entrate allâ€™UNI come socio ordinario per lâ€™anno 2021</t>
  </si>
  <si>
    <t>Manutenzione hardware</t>
  </si>
  <si>
    <t xml:space="preserve">HP ITALY SRL (CF: 08954150960)
</t>
  </si>
  <si>
    <t>HP ITALY SRL (CF: 08954150960)</t>
  </si>
  <si>
    <t>Polizze assicurative RC camper e Rc natante/motore marino</t>
  </si>
  <si>
    <t xml:space="preserve">VITTORIA ASSICURAZIONI SPA (CF: 01329510158)
</t>
  </si>
  <si>
    <t>VITTORIA ASSICURAZIONI SPA (CF: 01329510158)</t>
  </si>
  <si>
    <t>Traduzione di n. 3 comunicazioni di carattere fiscale dalla lingua italiana alla lingua tedesca per le esigenze dellâ€™Agenzia delle Entrate</t>
  </si>
  <si>
    <t>Abbonamenti a periodici</t>
  </si>
  <si>
    <t>Codice inserzione 2000044597 - Avviso esito brokeraggio</t>
  </si>
  <si>
    <t>Ordinativo di fornitura di mascherine chirurgiche monouso</t>
  </si>
  <si>
    <t xml:space="preserve">G.M. FASHION GROUP S.R.L. (CF: 08663331216)
</t>
  </si>
  <si>
    <t>G.M. FASHION GROUP S.R.L. (CF: 08663331216)</t>
  </si>
  <si>
    <t xml:space="preserve">MABE SRL (CF: 02969620133)
</t>
  </si>
  <si>
    <t>MABE SRL (CF: 02969620133)</t>
  </si>
  <si>
    <t xml:space="preserve">GLF S.A.S DI CIANCIO MARILENA ALESSANDRA E C (CF: 03073420782)
</t>
  </si>
  <si>
    <t>GLF S.A.S DI CIANCIO MARILENA ALESSANDRA E C (CF: 03073420782)</t>
  </si>
  <si>
    <t>Manutenzione ordinaria, programmata e non programmata, per gli Uffici Centrali di Roma dellâ€™Agenzia delle Entrate</t>
  </si>
  <si>
    <t xml:space="preserve">3F CREA SRL (CF: 15323371003)
</t>
  </si>
  <si>
    <t>3F CREA SRL (CF: 15323371003)</t>
  </si>
  <si>
    <t>Noleggio e assistenza antenna parabolica necessaria alla ricezione dei notiziari di Agenzia di stampa ANSA nellâ€™anno 2021</t>
  </si>
  <si>
    <t>Fornitura dei notiziari di Agenzia stampa RADIOCOR a favore dellâ€™Agenzia delle Entrate e di Agenzia delle entrate Riscossione per l'anno 2021</t>
  </si>
  <si>
    <t>Sottoscrizione all'Osservatorio sul mercato immobiliare - Anno 2021</t>
  </si>
  <si>
    <t>Facchinaggio interno ed esterno ADE/ADER - Lotto 2 Lombardia</t>
  </si>
  <si>
    <t xml:space="preserve">AGEAS IMPRESA CONSORTILE LOMBARDA SRL (CF: 07263410966)
CONSORZIO PROGETTO MULTISERVIZI (CF: 02226920599)
COOPSERVICE S.COOP.P.A. (CF: 00310180351)
IL RISVEGLIO SOC COOP.SOCIALE ARL (CF: 12018841002)
SCALA ENTERPRISE S.R.L. (CF: 05594340639)
</t>
  </si>
  <si>
    <t>Facchinaggio interno ed esterno ADE/ADER - Lotto 7 Lazio, DC, DG</t>
  </si>
  <si>
    <t xml:space="preserve">CONSORZIO PROGETTO MULTISERVIZI (CF: 02226920599)
COOPSERVICE S.COOP.P.A. (CF: 00310180351)
F.LLI PIERO E FRANCO CRITELLI SRL (CF: 01261400798)
IL RISVEGLIO SOC COOP.SOCIALE ARL (CF: 12018841002)
SCALA ENTERPRISE S.R.L. (CF: 05594340639)
</t>
  </si>
  <si>
    <t>Facchinaggio interno ed esterno ADE/ADER - Lotto 8 Basilicata e Campania</t>
  </si>
  <si>
    <t xml:space="preserve">CONSORZIO PROGETTO MULTISERVIZI (CF: 02226920599)
COOPSERVICE S.COOP.P.A. (CF: 00310180351)
IL RISVEGLIO SOC COOP.SOCIALE ARL (CF: 12018841002)
S A F S.R.L. (CF: 04529881213)
SCALA ENTERPRISE S.R.L. (CF: 05594340639)
</t>
  </si>
  <si>
    <t>Facchinaggio interno ed esterno ADE/ADER - Lotto 10 Calabria e Sicilia</t>
  </si>
  <si>
    <t xml:space="preserve">CONSORZIO PROGETTO MULTISERVIZI (CF: 02226920599)
F.LLI PIERO E FRANCO CRITELLI SRL (CF: 01261400798)
IL RISVEGLIO SOC COOP.SOCIALE ARL (CF: 12018841002)
L.T. SOLUTION SRL (CF: 04257820961)
S A F S.R.L. (CF: 04529881213)
</t>
  </si>
  <si>
    <t>CONSORZIO PROGETTO MULTISERVIZI (CF: 02226920599)</t>
  </si>
  <si>
    <t>Facchinaggio interno ed esterno ADE/ADER - Lotto 11 Sardegna</t>
  </si>
  <si>
    <t xml:space="preserve">IL RISVEGLIO SOC COOP.SOCIALE ARL (CF: 12018841002)
L.T. SOLUTION SRL (CF: 04257820961)
SAGAD S.R.L. (CF: 03887591000)
SANTA BRIGIDA SOCIETA COOP.VA PER AZIONI (CF: 04161790631)
</t>
  </si>
  <si>
    <t>SANTA BRIGIDA SOCIETA COOP.VA PER AZIONI (CF: 04161790631)</t>
  </si>
  <si>
    <t>Buoni pasto Direzioni Centrali</t>
  </si>
  <si>
    <t xml:space="preserve">REPAS LUNCH COUPON SRL (CF: 08122660585)
</t>
  </si>
  <si>
    <t>REPAS LUNCH COUPON SRL (CF: 08122660585)</t>
  </si>
  <si>
    <t>Noleggio quadriennale veicolo commerciale DR Toscana</t>
  </si>
  <si>
    <t>Noleggio quadriennale veicolo DR Toscana</t>
  </si>
  <si>
    <t>fornitura di mascherine chirurgiche</t>
  </si>
  <si>
    <t>Gestione trasferte di lavoro</t>
  </si>
  <si>
    <t xml:space="preserve">CISALPINA TOURS S.P.A. (CF: 00637950015)
</t>
  </si>
  <si>
    <t>CISALPINA TOURS S.P.A. (CF: 00637950015)</t>
  </si>
  <si>
    <t>Noleggio veicolo commerciale DR Lazio</t>
  </si>
  <si>
    <t>Fornitura ed installazione di Scan detector a tecnologia radiogena e portali per il controllo persone e manutenzione quadriennale per le Direzioni Centrali dell'Agenzia delle Entrate</t>
  </si>
  <si>
    <t>Servizio di brokeraggio assicurativo per lâ€™Agenzia delle Entrate e per lâ€™Agenzia delle Entrate-Riscossione</t>
  </si>
  <si>
    <t>Fornitura di sistema di controllo accessi a 1 testina e manutenzione triennale</t>
  </si>
  <si>
    <t xml:space="preserve">SOLARI DI UDINE S.P.A. (CF: 01847860309)
</t>
  </si>
  <si>
    <t>SOLARI DI UDINE S.P.A. (CF: 01847860309)</t>
  </si>
  <si>
    <t>Noleggio quadriennale Fiat Tipo DR Campania</t>
  </si>
  <si>
    <t>Adeguamento gruppo elettrogeno</t>
  </si>
  <si>
    <t>Sostituzione Hard Disk iMac</t>
  </si>
  <si>
    <t xml:space="preserve">DROIDI ELETTRONICA DI EUDILEI MENDONCA (CF: MNDDLE85C08Z602M)
</t>
  </si>
  <si>
    <t>DROIDI ELETTRONICA DI EUDILEI MENDONCA (CF: MNDDLE85C08Z602M)</t>
  </si>
  <si>
    <t>accordi quadro per la fornitura di mascherine chirurgiche monouso guanti monouso e gel disinfettante mani e relativi dispenser erogatori per esigenze ADE/ADER - Lotto 2</t>
  </si>
  <si>
    <t>ORGANIZZAZIONE E SVOLGIMENTO DI CORSI DI LINGUE STRANIERE</t>
  </si>
  <si>
    <t xml:space="preserve">Servizi di traduzione </t>
  </si>
  <si>
    <t xml:space="preserve">Servizio di web hosting e housing del sito internet di agenzia </t>
  </si>
  <si>
    <t>Fornitura pavimentazione pvc</t>
  </si>
  <si>
    <t>Lavori di manutenzione ordinaria e di adeguamento al D.lgs.81/08 delle sedi delle Direzioni Centrali di Via Giorgione n.106, n.159 e largo Leopardi 5</t>
  </si>
  <si>
    <t xml:space="preserve">CONSORZIO ETHOS FACILITY SRL (CF: 12579751004)
GLOBAL SERVICE SRL (CF: 15319181002)
LATER SRL (CF: 12618631001)
LATTANZI SRL (CF: 05363631002)
PIERALISI SRL (CF: 02676520592)
</t>
  </si>
  <si>
    <t>PIERALISI SRL (CF: 02676520592)</t>
  </si>
  <si>
    <t>Servizi di riscossione tributi con modalitÃ  elettroniche</t>
  </si>
  <si>
    <t>servizio di verifica della vulnerabilitÃ  sismica</t>
  </si>
  <si>
    <t>Carta in risme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</si>
</sst>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"7653596B36"</f>
        <v>7653596B36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2827868</v>
      </c>
      <c r="I3" s="2">
        <v>43433</v>
      </c>
      <c r="J3" s="2">
        <v>45262</v>
      </c>
      <c r="K3">
        <v>832025.17</v>
      </c>
    </row>
    <row r="4" spans="1:11" x14ac:dyDescent="0.25">
      <c r="A4" t="str">
        <f>"7838790624"</f>
        <v>7838790624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270000</v>
      </c>
      <c r="I4" s="2">
        <v>43543</v>
      </c>
      <c r="J4" s="2">
        <v>44364</v>
      </c>
      <c r="K4">
        <v>43178.86</v>
      </c>
    </row>
    <row r="5" spans="1:11" x14ac:dyDescent="0.25">
      <c r="A5" t="str">
        <f>"6229986B13"</f>
        <v>6229986B13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22</v>
      </c>
      <c r="G5" t="s">
        <v>23</v>
      </c>
      <c r="H5">
        <v>650000</v>
      </c>
      <c r="I5" s="2">
        <v>42116</v>
      </c>
      <c r="J5" s="2">
        <v>43616</v>
      </c>
      <c r="K5">
        <v>341215.04</v>
      </c>
    </row>
    <row r="6" spans="1:11" x14ac:dyDescent="0.25">
      <c r="A6" t="str">
        <f>"57793484D7"</f>
        <v>57793484D7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26</v>
      </c>
      <c r="G6" t="s">
        <v>27</v>
      </c>
      <c r="H6">
        <v>0</v>
      </c>
      <c r="I6" s="2">
        <v>41913</v>
      </c>
      <c r="J6" s="2">
        <v>42277</v>
      </c>
      <c r="K6">
        <v>964429.17</v>
      </c>
    </row>
    <row r="7" spans="1:11" x14ac:dyDescent="0.25">
      <c r="A7" t="str">
        <f>"ZD311DD754"</f>
        <v>ZD311DD754</v>
      </c>
      <c r="B7" t="str">
        <f t="shared" si="0"/>
        <v>06363391001</v>
      </c>
      <c r="C7" t="s">
        <v>16</v>
      </c>
      <c r="D7" t="s">
        <v>28</v>
      </c>
      <c r="E7" t="s">
        <v>18</v>
      </c>
      <c r="F7" s="1" t="s">
        <v>29</v>
      </c>
      <c r="G7" t="s">
        <v>30</v>
      </c>
      <c r="H7">
        <v>3259.8</v>
      </c>
      <c r="I7" s="2">
        <v>42076</v>
      </c>
      <c r="J7" s="2">
        <v>43903</v>
      </c>
      <c r="K7">
        <v>3386.02</v>
      </c>
    </row>
    <row r="8" spans="1:11" x14ac:dyDescent="0.25">
      <c r="A8" t="str">
        <f>"6267010441"</f>
        <v>6267010441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26</v>
      </c>
      <c r="G8" t="s">
        <v>27</v>
      </c>
      <c r="H8">
        <v>0</v>
      </c>
      <c r="I8" s="2">
        <v>42217</v>
      </c>
      <c r="J8" s="2">
        <v>42643</v>
      </c>
      <c r="K8">
        <v>847611.9</v>
      </c>
    </row>
    <row r="9" spans="1:11" x14ac:dyDescent="0.25">
      <c r="A9" t="str">
        <f>"Z8F13722A5"</f>
        <v>Z8F13722A5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33</v>
      </c>
      <c r="G9" t="s">
        <v>34</v>
      </c>
      <c r="H9">
        <v>17210.88</v>
      </c>
      <c r="I9" s="2">
        <v>42163</v>
      </c>
      <c r="J9" s="2">
        <v>43624</v>
      </c>
      <c r="K9">
        <v>14758.55</v>
      </c>
    </row>
    <row r="10" spans="1:11" x14ac:dyDescent="0.25">
      <c r="A10" t="str">
        <f>"Z2F1372439"</f>
        <v>Z2F1372439</v>
      </c>
      <c r="B10" t="str">
        <f t="shared" si="0"/>
        <v>06363391001</v>
      </c>
      <c r="C10" t="s">
        <v>16</v>
      </c>
      <c r="D10" t="s">
        <v>32</v>
      </c>
      <c r="E10" t="s">
        <v>18</v>
      </c>
      <c r="F10" s="1" t="s">
        <v>33</v>
      </c>
      <c r="G10" t="s">
        <v>34</v>
      </c>
      <c r="H10">
        <v>15886.08</v>
      </c>
      <c r="I10" s="2">
        <v>42173</v>
      </c>
      <c r="J10" s="2">
        <v>43634</v>
      </c>
      <c r="K10">
        <v>15287.45</v>
      </c>
    </row>
    <row r="11" spans="1:11" x14ac:dyDescent="0.25">
      <c r="A11" t="str">
        <f>"6558342307"</f>
        <v>6558342307</v>
      </c>
      <c r="B11" t="str">
        <f t="shared" si="0"/>
        <v>06363391001</v>
      </c>
      <c r="C11" t="s">
        <v>16</v>
      </c>
      <c r="D11" t="s">
        <v>35</v>
      </c>
      <c r="E11" t="s">
        <v>18</v>
      </c>
      <c r="F11" s="1" t="s">
        <v>33</v>
      </c>
      <c r="G11" t="s">
        <v>34</v>
      </c>
      <c r="H11">
        <v>16854.240000000002</v>
      </c>
      <c r="I11" s="2">
        <v>42488</v>
      </c>
      <c r="J11" s="2">
        <v>43949</v>
      </c>
      <c r="K11">
        <v>15830.48</v>
      </c>
    </row>
    <row r="12" spans="1:11" x14ac:dyDescent="0.25">
      <c r="A12" t="str">
        <f>"66885416A3"</f>
        <v>66885416A3</v>
      </c>
      <c r="B12" t="str">
        <f t="shared" si="0"/>
        <v>06363391001</v>
      </c>
      <c r="C12" t="s">
        <v>16</v>
      </c>
      <c r="D12" t="s">
        <v>36</v>
      </c>
      <c r="E12" t="s">
        <v>18</v>
      </c>
      <c r="F12" s="1" t="s">
        <v>26</v>
      </c>
      <c r="G12" t="s">
        <v>27</v>
      </c>
      <c r="H12">
        <v>0</v>
      </c>
      <c r="I12" s="2">
        <v>42583</v>
      </c>
      <c r="J12" s="2">
        <v>42947</v>
      </c>
      <c r="K12">
        <v>999367.87</v>
      </c>
    </row>
    <row r="13" spans="1:11" x14ac:dyDescent="0.25">
      <c r="A13" t="str">
        <f>"6561065A1C"</f>
        <v>6561065A1C</v>
      </c>
      <c r="B13" t="str">
        <f t="shared" si="0"/>
        <v>06363391001</v>
      </c>
      <c r="C13" t="s">
        <v>16</v>
      </c>
      <c r="D13" t="s">
        <v>37</v>
      </c>
      <c r="E13" t="s">
        <v>18</v>
      </c>
      <c r="F13" s="1" t="s">
        <v>33</v>
      </c>
      <c r="G13" t="s">
        <v>34</v>
      </c>
      <c r="H13">
        <v>16433.28</v>
      </c>
      <c r="I13" s="2">
        <v>42507</v>
      </c>
      <c r="J13" s="2">
        <v>43968</v>
      </c>
      <c r="K13">
        <v>17009.36</v>
      </c>
    </row>
    <row r="14" spans="1:11" x14ac:dyDescent="0.25">
      <c r="A14" t="str">
        <f>"655749473B"</f>
        <v>655749473B</v>
      </c>
      <c r="B14" t="str">
        <f t="shared" si="0"/>
        <v>06363391001</v>
      </c>
      <c r="C14" t="s">
        <v>16</v>
      </c>
      <c r="D14" t="s">
        <v>38</v>
      </c>
      <c r="E14" t="s">
        <v>18</v>
      </c>
      <c r="F14" s="1" t="s">
        <v>29</v>
      </c>
      <c r="G14" t="s">
        <v>30</v>
      </c>
      <c r="H14">
        <v>2336.16</v>
      </c>
      <c r="I14" s="2">
        <v>42445</v>
      </c>
      <c r="J14" s="2">
        <v>43905</v>
      </c>
      <c r="K14">
        <v>3033.76</v>
      </c>
    </row>
    <row r="15" spans="1:11" x14ac:dyDescent="0.25">
      <c r="A15" t="str">
        <f>"XA1171FE70"</f>
        <v>XA1171FE70</v>
      </c>
      <c r="B15" t="str">
        <f t="shared" si="0"/>
        <v>06363391001</v>
      </c>
      <c r="C15" t="s">
        <v>16</v>
      </c>
      <c r="D15" t="s">
        <v>39</v>
      </c>
      <c r="E15" t="s">
        <v>40</v>
      </c>
      <c r="F15" s="1" t="s">
        <v>41</v>
      </c>
      <c r="G15" t="s">
        <v>42</v>
      </c>
      <c r="H15">
        <v>0</v>
      </c>
      <c r="I15" s="2">
        <v>42370</v>
      </c>
      <c r="J15" s="2">
        <v>43100</v>
      </c>
      <c r="K15">
        <v>1981.8</v>
      </c>
    </row>
    <row r="16" spans="1:11" x14ac:dyDescent="0.25">
      <c r="A16" t="str">
        <f>"6561067BC2"</f>
        <v>6561067BC2</v>
      </c>
      <c r="B16" t="str">
        <f t="shared" si="0"/>
        <v>06363391001</v>
      </c>
      <c r="C16" t="s">
        <v>16</v>
      </c>
      <c r="D16" t="s">
        <v>37</v>
      </c>
      <c r="E16" t="s">
        <v>18</v>
      </c>
      <c r="F16" s="1" t="s">
        <v>33</v>
      </c>
      <c r="G16" t="s">
        <v>34</v>
      </c>
      <c r="H16">
        <v>16433.28</v>
      </c>
      <c r="I16" s="2">
        <v>42555</v>
      </c>
      <c r="J16" s="2">
        <v>44016</v>
      </c>
      <c r="K16">
        <v>17922.72</v>
      </c>
    </row>
    <row r="17" spans="1:11" x14ac:dyDescent="0.25">
      <c r="A17" t="str">
        <f>"68165635BC"</f>
        <v>68165635BC</v>
      </c>
      <c r="B17" t="str">
        <f t="shared" si="0"/>
        <v>06363391001</v>
      </c>
      <c r="C17" t="s">
        <v>16</v>
      </c>
      <c r="D17" t="s">
        <v>38</v>
      </c>
      <c r="E17" t="s">
        <v>18</v>
      </c>
      <c r="F17" s="1" t="s">
        <v>43</v>
      </c>
      <c r="G17" t="s">
        <v>44</v>
      </c>
      <c r="H17">
        <v>2656.32</v>
      </c>
      <c r="I17" s="2">
        <v>42692</v>
      </c>
      <c r="J17" s="2">
        <v>44152</v>
      </c>
      <c r="K17">
        <v>2656.32</v>
      </c>
    </row>
    <row r="18" spans="1:11" x14ac:dyDescent="0.25">
      <c r="A18" t="str">
        <f>"6848194C74"</f>
        <v>6848194C74</v>
      </c>
      <c r="B18" t="str">
        <f t="shared" si="0"/>
        <v>06363391001</v>
      </c>
      <c r="C18" t="s">
        <v>16</v>
      </c>
      <c r="D18" t="s">
        <v>38</v>
      </c>
      <c r="E18" t="s">
        <v>18</v>
      </c>
      <c r="F18" s="1" t="s">
        <v>43</v>
      </c>
      <c r="G18" t="s">
        <v>44</v>
      </c>
      <c r="H18">
        <v>2656.32</v>
      </c>
      <c r="I18" s="2">
        <v>42717</v>
      </c>
      <c r="J18" s="2">
        <v>44177</v>
      </c>
      <c r="K18">
        <v>3244.92</v>
      </c>
    </row>
    <row r="19" spans="1:11" x14ac:dyDescent="0.25">
      <c r="A19" t="str">
        <f>"69713289D9"</f>
        <v>69713289D9</v>
      </c>
      <c r="B19" t="str">
        <f t="shared" si="0"/>
        <v>06363391001</v>
      </c>
      <c r="C19" t="s">
        <v>16</v>
      </c>
      <c r="D19" t="s">
        <v>45</v>
      </c>
      <c r="E19" t="s">
        <v>18</v>
      </c>
      <c r="F19" s="1" t="s">
        <v>46</v>
      </c>
      <c r="G19" t="s">
        <v>47</v>
      </c>
      <c r="H19">
        <v>0</v>
      </c>
      <c r="I19" s="2">
        <v>42826</v>
      </c>
      <c r="J19" s="2">
        <v>43190</v>
      </c>
      <c r="K19">
        <v>56451.07</v>
      </c>
    </row>
    <row r="20" spans="1:11" x14ac:dyDescent="0.25">
      <c r="A20" t="str">
        <f>"688533455C"</f>
        <v>688533455C</v>
      </c>
      <c r="B20" t="str">
        <f t="shared" si="0"/>
        <v>06363391001</v>
      </c>
      <c r="C20" t="s">
        <v>16</v>
      </c>
      <c r="D20" t="s">
        <v>48</v>
      </c>
      <c r="E20" t="s">
        <v>18</v>
      </c>
      <c r="F20" s="1" t="s">
        <v>43</v>
      </c>
      <c r="G20" t="s">
        <v>44</v>
      </c>
      <c r="H20">
        <v>2656.32</v>
      </c>
      <c r="I20" s="2">
        <v>42789</v>
      </c>
      <c r="J20" s="2">
        <v>44249</v>
      </c>
      <c r="K20">
        <v>2656.32</v>
      </c>
    </row>
    <row r="21" spans="1:11" ht="90" x14ac:dyDescent="0.25">
      <c r="A21" t="str">
        <f>"70910485EC"</f>
        <v>70910485EC</v>
      </c>
      <c r="B21" t="str">
        <f t="shared" si="0"/>
        <v>06363391001</v>
      </c>
      <c r="C21" t="s">
        <v>16</v>
      </c>
      <c r="D21" t="s">
        <v>49</v>
      </c>
      <c r="E21" t="s">
        <v>18</v>
      </c>
      <c r="F21" s="1" t="s">
        <v>19</v>
      </c>
      <c r="G21" t="s">
        <v>20</v>
      </c>
      <c r="H21">
        <v>42474606</v>
      </c>
      <c r="I21" s="2">
        <v>42880</v>
      </c>
      <c r="J21" s="2">
        <v>45070</v>
      </c>
      <c r="K21">
        <v>12952003.33</v>
      </c>
    </row>
    <row r="22" spans="1:11" x14ac:dyDescent="0.25">
      <c r="A22" t="str">
        <f>"69412493E1"</f>
        <v>69412493E1</v>
      </c>
      <c r="B22" t="str">
        <f t="shared" si="0"/>
        <v>06363391001</v>
      </c>
      <c r="C22" t="s">
        <v>16</v>
      </c>
      <c r="D22" t="s">
        <v>50</v>
      </c>
      <c r="E22" t="s">
        <v>18</v>
      </c>
      <c r="F22" s="1" t="s">
        <v>29</v>
      </c>
      <c r="G22" t="s">
        <v>30</v>
      </c>
      <c r="H22">
        <v>69926.720000000001</v>
      </c>
      <c r="I22" s="2">
        <v>42849</v>
      </c>
      <c r="J22" s="2">
        <v>44313</v>
      </c>
      <c r="K22">
        <v>57331.71</v>
      </c>
    </row>
    <row r="23" spans="1:11" x14ac:dyDescent="0.25">
      <c r="A23" t="str">
        <f>"6941206066"</f>
        <v>6941206066</v>
      </c>
      <c r="B23" t="str">
        <f t="shared" si="0"/>
        <v>06363391001</v>
      </c>
      <c r="C23" t="s">
        <v>16</v>
      </c>
      <c r="D23" t="s">
        <v>51</v>
      </c>
      <c r="E23" t="s">
        <v>18</v>
      </c>
      <c r="F23" s="1" t="s">
        <v>43</v>
      </c>
      <c r="G23" t="s">
        <v>44</v>
      </c>
      <c r="H23">
        <v>3226.56</v>
      </c>
      <c r="I23" s="2">
        <v>42881</v>
      </c>
      <c r="J23" s="2">
        <v>44342</v>
      </c>
      <c r="K23">
        <v>4388.6000000000004</v>
      </c>
    </row>
    <row r="24" spans="1:11" ht="409.5" x14ac:dyDescent="0.25">
      <c r="A24" t="str">
        <f>"7108862281"</f>
        <v>7108862281</v>
      </c>
      <c r="B24" t="str">
        <f t="shared" si="0"/>
        <v>06363391001</v>
      </c>
      <c r="C24" t="s">
        <v>16</v>
      </c>
      <c r="D24" t="s">
        <v>52</v>
      </c>
      <c r="E24" t="s">
        <v>53</v>
      </c>
      <c r="F24" s="1" t="s">
        <v>54</v>
      </c>
      <c r="G24" t="s">
        <v>55</v>
      </c>
      <c r="H24">
        <v>140000</v>
      </c>
      <c r="I24" s="2">
        <v>42956</v>
      </c>
      <c r="J24" s="2">
        <v>44052</v>
      </c>
      <c r="K24">
        <v>89417.01</v>
      </c>
    </row>
    <row r="25" spans="1:11" ht="135" x14ac:dyDescent="0.25">
      <c r="A25" t="str">
        <f>"6557505051"</f>
        <v>6557505051</v>
      </c>
      <c r="B25" t="str">
        <f t="shared" si="0"/>
        <v>06363391001</v>
      </c>
      <c r="C25" t="s">
        <v>16</v>
      </c>
      <c r="D25" t="s">
        <v>56</v>
      </c>
      <c r="E25" t="s">
        <v>18</v>
      </c>
      <c r="F25" s="1" t="s">
        <v>29</v>
      </c>
      <c r="G25" t="s">
        <v>30</v>
      </c>
      <c r="H25">
        <v>1545.6</v>
      </c>
      <c r="I25" s="2">
        <v>42473</v>
      </c>
      <c r="J25" s="2">
        <v>43933</v>
      </c>
      <c r="K25">
        <v>1181.42</v>
      </c>
    </row>
    <row r="26" spans="1:11" ht="150" x14ac:dyDescent="0.25">
      <c r="A26" t="str">
        <f>"Z0520B3925"</f>
        <v>Z0520B3925</v>
      </c>
      <c r="B26" t="str">
        <f t="shared" si="0"/>
        <v>06363391001</v>
      </c>
      <c r="C26" t="s">
        <v>16</v>
      </c>
      <c r="D26" t="s">
        <v>57</v>
      </c>
      <c r="E26" t="s">
        <v>40</v>
      </c>
      <c r="F26" s="1" t="s">
        <v>58</v>
      </c>
      <c r="G26" t="s">
        <v>59</v>
      </c>
      <c r="H26">
        <v>4507.7</v>
      </c>
      <c r="I26" s="2">
        <v>42979</v>
      </c>
      <c r="J26" s="2">
        <v>44012</v>
      </c>
      <c r="K26">
        <v>3716</v>
      </c>
    </row>
    <row r="27" spans="1:11" ht="409.5" x14ac:dyDescent="0.25">
      <c r="A27" t="str">
        <f>"ZB52079613"</f>
        <v>ZB52079613</v>
      </c>
      <c r="B27" t="str">
        <f t="shared" si="0"/>
        <v>06363391001</v>
      </c>
      <c r="C27" t="s">
        <v>16</v>
      </c>
      <c r="D27" t="s">
        <v>60</v>
      </c>
      <c r="E27" t="s">
        <v>53</v>
      </c>
      <c r="F27" s="1" t="s">
        <v>61</v>
      </c>
      <c r="G27" t="s">
        <v>62</v>
      </c>
      <c r="H27">
        <v>39500</v>
      </c>
      <c r="I27" s="2">
        <v>43074</v>
      </c>
      <c r="J27" s="2">
        <v>44169</v>
      </c>
      <c r="K27">
        <v>10540.63</v>
      </c>
    </row>
    <row r="28" spans="1:11" ht="409.5" x14ac:dyDescent="0.25">
      <c r="A28" t="str">
        <f>"Z251D4B3F9"</f>
        <v>Z251D4B3F9</v>
      </c>
      <c r="B28" t="str">
        <f t="shared" si="0"/>
        <v>06363391001</v>
      </c>
      <c r="C28" t="s">
        <v>16</v>
      </c>
      <c r="D28" t="s">
        <v>63</v>
      </c>
      <c r="E28" t="s">
        <v>53</v>
      </c>
      <c r="F28" s="1" t="s">
        <v>64</v>
      </c>
      <c r="G28" t="s">
        <v>65</v>
      </c>
      <c r="H28">
        <v>10000</v>
      </c>
      <c r="I28" s="2">
        <v>42802</v>
      </c>
      <c r="J28" s="2">
        <v>43898</v>
      </c>
      <c r="K28">
        <v>7604</v>
      </c>
    </row>
    <row r="29" spans="1:11" ht="135" x14ac:dyDescent="0.25">
      <c r="A29" t="str">
        <f>"6559421D6F"</f>
        <v>6559421D6F</v>
      </c>
      <c r="B29" t="str">
        <f t="shared" si="0"/>
        <v>06363391001</v>
      </c>
      <c r="C29" t="s">
        <v>16</v>
      </c>
      <c r="D29" t="s">
        <v>37</v>
      </c>
      <c r="E29" t="s">
        <v>18</v>
      </c>
      <c r="F29" s="1" t="s">
        <v>33</v>
      </c>
      <c r="G29" t="s">
        <v>34</v>
      </c>
      <c r="H29">
        <v>16433.28</v>
      </c>
      <c r="I29" s="2">
        <v>42565</v>
      </c>
      <c r="J29" s="2">
        <v>44026</v>
      </c>
      <c r="K29">
        <v>17895.54</v>
      </c>
    </row>
    <row r="30" spans="1:11" ht="135" x14ac:dyDescent="0.25">
      <c r="A30" t="str">
        <f>"6559419BC9"</f>
        <v>6559419BC9</v>
      </c>
      <c r="B30" t="str">
        <f t="shared" si="0"/>
        <v>06363391001</v>
      </c>
      <c r="C30" t="s">
        <v>16</v>
      </c>
      <c r="D30" t="s">
        <v>37</v>
      </c>
      <c r="E30" t="s">
        <v>18</v>
      </c>
      <c r="F30" s="1" t="s">
        <v>33</v>
      </c>
      <c r="G30" t="s">
        <v>34</v>
      </c>
      <c r="H30">
        <v>16433.28</v>
      </c>
      <c r="I30" s="2">
        <v>42565</v>
      </c>
      <c r="J30" s="2">
        <v>44026</v>
      </c>
      <c r="K30">
        <v>17998.88</v>
      </c>
    </row>
    <row r="31" spans="1:11" ht="120" x14ac:dyDescent="0.25">
      <c r="A31" t="str">
        <f>"7361953BCB"</f>
        <v>7361953BCB</v>
      </c>
      <c r="B31" t="str">
        <f t="shared" si="0"/>
        <v>06363391001</v>
      </c>
      <c r="C31" t="s">
        <v>16</v>
      </c>
      <c r="D31" t="s">
        <v>66</v>
      </c>
      <c r="E31" t="s">
        <v>18</v>
      </c>
      <c r="F31" s="1" t="s">
        <v>67</v>
      </c>
      <c r="G31" t="s">
        <v>68</v>
      </c>
      <c r="H31">
        <v>5362579.95</v>
      </c>
      <c r="I31" s="2">
        <v>43124</v>
      </c>
      <c r="J31" s="2">
        <v>44220</v>
      </c>
      <c r="K31">
        <v>3239604.58</v>
      </c>
    </row>
    <row r="32" spans="1:11" ht="120" x14ac:dyDescent="0.25">
      <c r="A32" t="str">
        <f>"7165672399"</f>
        <v>7165672399</v>
      </c>
      <c r="B32" t="str">
        <f t="shared" si="0"/>
        <v>06363391001</v>
      </c>
      <c r="C32" t="s">
        <v>16</v>
      </c>
      <c r="D32" t="s">
        <v>69</v>
      </c>
      <c r="E32" t="s">
        <v>70</v>
      </c>
      <c r="F32" s="1" t="s">
        <v>71</v>
      </c>
      <c r="G32" t="s">
        <v>72</v>
      </c>
      <c r="H32">
        <v>1251520</v>
      </c>
      <c r="I32" s="2">
        <v>43159</v>
      </c>
      <c r="J32" s="2">
        <v>44620</v>
      </c>
      <c r="K32">
        <v>852514.26</v>
      </c>
    </row>
    <row r="33" spans="1:11" ht="409.5" x14ac:dyDescent="0.25">
      <c r="A33" t="str">
        <f>"716567453F"</f>
        <v>716567453F</v>
      </c>
      <c r="B33" t="str">
        <f t="shared" si="0"/>
        <v>06363391001</v>
      </c>
      <c r="C33" t="s">
        <v>16</v>
      </c>
      <c r="D33" t="s">
        <v>73</v>
      </c>
      <c r="E33" t="s">
        <v>70</v>
      </c>
      <c r="F33" s="1" t="s">
        <v>74</v>
      </c>
      <c r="G33" t="s">
        <v>75</v>
      </c>
      <c r="H33">
        <v>592000</v>
      </c>
      <c r="I33" s="2">
        <v>43159</v>
      </c>
      <c r="J33" s="2">
        <v>44620</v>
      </c>
      <c r="K33">
        <v>444000</v>
      </c>
    </row>
    <row r="34" spans="1:11" ht="409.5" x14ac:dyDescent="0.25">
      <c r="A34" t="str">
        <f>"71656766E5"</f>
        <v>71656766E5</v>
      </c>
      <c r="B34" t="str">
        <f t="shared" si="0"/>
        <v>06363391001</v>
      </c>
      <c r="C34" t="s">
        <v>16</v>
      </c>
      <c r="D34" t="s">
        <v>76</v>
      </c>
      <c r="E34" t="s">
        <v>70</v>
      </c>
      <c r="F34" s="1" t="s">
        <v>77</v>
      </c>
      <c r="G34" t="s">
        <v>75</v>
      </c>
      <c r="H34">
        <v>1611914.08</v>
      </c>
      <c r="I34" s="2">
        <v>43159</v>
      </c>
      <c r="J34" s="2">
        <v>44620</v>
      </c>
      <c r="K34">
        <v>1208935.56</v>
      </c>
    </row>
    <row r="35" spans="1:11" ht="360" x14ac:dyDescent="0.25">
      <c r="A35" t="str">
        <f>"7304836D5A"</f>
        <v>7304836D5A</v>
      </c>
      <c r="B35" t="str">
        <f t="shared" si="0"/>
        <v>06363391001</v>
      </c>
      <c r="C35" t="s">
        <v>16</v>
      </c>
      <c r="D35" t="s">
        <v>78</v>
      </c>
      <c r="E35" t="s">
        <v>53</v>
      </c>
      <c r="F35" s="1" t="s">
        <v>79</v>
      </c>
      <c r="G35" t="s">
        <v>80</v>
      </c>
      <c r="H35">
        <v>54780.17</v>
      </c>
      <c r="I35" s="2">
        <v>43153</v>
      </c>
      <c r="J35" s="2">
        <v>44308</v>
      </c>
      <c r="K35">
        <v>43247.42</v>
      </c>
    </row>
    <row r="36" spans="1:11" ht="409.5" x14ac:dyDescent="0.25">
      <c r="A36" t="str">
        <f>"7278352E10"</f>
        <v>7278352E10</v>
      </c>
      <c r="B36" t="str">
        <f t="shared" si="0"/>
        <v>06363391001</v>
      </c>
      <c r="C36" t="s">
        <v>16</v>
      </c>
      <c r="D36" t="s">
        <v>81</v>
      </c>
      <c r="E36" t="s">
        <v>53</v>
      </c>
      <c r="F36" s="1" t="s">
        <v>82</v>
      </c>
      <c r="G36" t="s">
        <v>83</v>
      </c>
      <c r="H36">
        <v>201760</v>
      </c>
      <c r="I36" s="2">
        <v>43191</v>
      </c>
      <c r="J36" s="2">
        <v>44286</v>
      </c>
      <c r="K36">
        <v>184946.53</v>
      </c>
    </row>
    <row r="37" spans="1:11" ht="409.5" x14ac:dyDescent="0.25">
      <c r="A37" t="str">
        <f>"7333203E8A"</f>
        <v>7333203E8A</v>
      </c>
      <c r="B37" t="str">
        <f t="shared" si="0"/>
        <v>06363391001</v>
      </c>
      <c r="C37" t="s">
        <v>16</v>
      </c>
      <c r="D37" t="s">
        <v>84</v>
      </c>
      <c r="E37" t="s">
        <v>53</v>
      </c>
      <c r="F37" s="1" t="s">
        <v>85</v>
      </c>
      <c r="G37" t="s">
        <v>86</v>
      </c>
      <c r="H37">
        <v>206760</v>
      </c>
      <c r="I37" s="2">
        <v>43187</v>
      </c>
      <c r="J37" s="2">
        <v>44283</v>
      </c>
      <c r="K37">
        <v>206760</v>
      </c>
    </row>
    <row r="38" spans="1:11" ht="135" x14ac:dyDescent="0.25">
      <c r="A38" t="str">
        <f>"7402008A3A"</f>
        <v>7402008A3A</v>
      </c>
      <c r="B38" t="str">
        <f t="shared" si="0"/>
        <v>06363391001</v>
      </c>
      <c r="C38" t="s">
        <v>16</v>
      </c>
      <c r="D38" t="s">
        <v>87</v>
      </c>
      <c r="E38" t="s">
        <v>18</v>
      </c>
      <c r="F38" s="1" t="s">
        <v>29</v>
      </c>
      <c r="G38" t="s">
        <v>30</v>
      </c>
      <c r="H38">
        <v>61921</v>
      </c>
      <c r="I38" s="2">
        <v>43236</v>
      </c>
      <c r="J38" s="2">
        <v>45061</v>
      </c>
      <c r="K38">
        <v>30960.6</v>
      </c>
    </row>
    <row r="39" spans="1:11" ht="409.5" x14ac:dyDescent="0.25">
      <c r="A39" t="str">
        <f>"Z6022E94D9"</f>
        <v>Z6022E94D9</v>
      </c>
      <c r="B39" t="str">
        <f t="shared" si="0"/>
        <v>06363391001</v>
      </c>
      <c r="C39" t="s">
        <v>16</v>
      </c>
      <c r="D39" t="s">
        <v>88</v>
      </c>
      <c r="E39" t="s">
        <v>53</v>
      </c>
      <c r="F39" s="1" t="s">
        <v>89</v>
      </c>
      <c r="G39" t="s">
        <v>90</v>
      </c>
      <c r="H39">
        <v>39938</v>
      </c>
      <c r="I39" s="2">
        <v>43242</v>
      </c>
      <c r="J39" s="2">
        <v>43972</v>
      </c>
      <c r="K39">
        <v>43450.92</v>
      </c>
    </row>
    <row r="40" spans="1:11" ht="195" x14ac:dyDescent="0.25">
      <c r="A40" t="str">
        <f>"Z2922C504B"</f>
        <v>Z2922C504B</v>
      </c>
      <c r="B40" t="str">
        <f t="shared" si="0"/>
        <v>06363391001</v>
      </c>
      <c r="C40" t="s">
        <v>16</v>
      </c>
      <c r="D40" t="s">
        <v>91</v>
      </c>
      <c r="E40" t="s">
        <v>40</v>
      </c>
      <c r="F40" s="1" t="s">
        <v>92</v>
      </c>
      <c r="G40" t="s">
        <v>93</v>
      </c>
      <c r="H40">
        <v>900</v>
      </c>
      <c r="I40" s="2">
        <v>43175</v>
      </c>
      <c r="J40" s="2">
        <v>43905</v>
      </c>
      <c r="K40">
        <v>833.21</v>
      </c>
    </row>
    <row r="41" spans="1:11" ht="135" x14ac:dyDescent="0.25">
      <c r="A41" t="str">
        <f>"75281845F6"</f>
        <v>75281845F6</v>
      </c>
      <c r="B41" t="str">
        <f t="shared" si="0"/>
        <v>06363391001</v>
      </c>
      <c r="C41" t="s">
        <v>16</v>
      </c>
      <c r="D41" t="s">
        <v>94</v>
      </c>
      <c r="E41" t="s">
        <v>18</v>
      </c>
      <c r="F41" s="1" t="s">
        <v>95</v>
      </c>
      <c r="G41" t="s">
        <v>96</v>
      </c>
      <c r="H41">
        <v>0</v>
      </c>
      <c r="I41" s="2">
        <v>43265</v>
      </c>
      <c r="J41" s="2">
        <v>44361</v>
      </c>
      <c r="K41">
        <v>179802.57</v>
      </c>
    </row>
    <row r="42" spans="1:11" ht="90" x14ac:dyDescent="0.25">
      <c r="A42" t="str">
        <f>"703392742F"</f>
        <v>703392742F</v>
      </c>
      <c r="B42" t="str">
        <f t="shared" si="0"/>
        <v>06363391001</v>
      </c>
      <c r="C42" t="s">
        <v>16</v>
      </c>
      <c r="D42" t="s">
        <v>97</v>
      </c>
      <c r="E42" t="s">
        <v>18</v>
      </c>
      <c r="F42" s="1" t="s">
        <v>98</v>
      </c>
      <c r="G42" t="s">
        <v>99</v>
      </c>
      <c r="H42">
        <v>168409.35</v>
      </c>
      <c r="I42" s="2">
        <v>42825</v>
      </c>
      <c r="J42" s="2">
        <v>43921</v>
      </c>
      <c r="K42">
        <v>137559</v>
      </c>
    </row>
    <row r="43" spans="1:11" ht="105" x14ac:dyDescent="0.25">
      <c r="A43" t="str">
        <f>"7632644116"</f>
        <v>7632644116</v>
      </c>
      <c r="B43" t="str">
        <f t="shared" si="0"/>
        <v>06363391001</v>
      </c>
      <c r="C43" t="s">
        <v>16</v>
      </c>
      <c r="D43" t="s">
        <v>100</v>
      </c>
      <c r="E43" t="s">
        <v>53</v>
      </c>
      <c r="F43" s="1" t="s">
        <v>101</v>
      </c>
      <c r="G43" t="s">
        <v>102</v>
      </c>
      <c r="H43">
        <v>44142.96</v>
      </c>
      <c r="I43" s="2">
        <v>43208</v>
      </c>
      <c r="J43" s="2">
        <v>43938</v>
      </c>
      <c r="K43">
        <v>38535.67</v>
      </c>
    </row>
    <row r="44" spans="1:11" ht="90" x14ac:dyDescent="0.25">
      <c r="A44" t="str">
        <f>"7634824812"</f>
        <v>7634824812</v>
      </c>
      <c r="B44" t="str">
        <f t="shared" si="0"/>
        <v>06363391001</v>
      </c>
      <c r="C44" t="s">
        <v>16</v>
      </c>
      <c r="D44" t="s">
        <v>103</v>
      </c>
      <c r="E44" t="s">
        <v>18</v>
      </c>
      <c r="F44" s="1" t="s">
        <v>104</v>
      </c>
      <c r="G44" t="s">
        <v>105</v>
      </c>
      <c r="H44">
        <v>0</v>
      </c>
      <c r="I44" s="2">
        <v>43435</v>
      </c>
      <c r="J44" s="2">
        <v>43799</v>
      </c>
      <c r="K44">
        <v>94875</v>
      </c>
    </row>
    <row r="45" spans="1:11" ht="409.5" x14ac:dyDescent="0.25">
      <c r="A45" t="str">
        <f>"7529552EDC"</f>
        <v>7529552EDC</v>
      </c>
      <c r="B45" t="str">
        <f t="shared" si="0"/>
        <v>06363391001</v>
      </c>
      <c r="C45" t="s">
        <v>16</v>
      </c>
      <c r="D45" t="s">
        <v>106</v>
      </c>
      <c r="E45" t="s">
        <v>53</v>
      </c>
      <c r="F45" s="1" t="s">
        <v>107</v>
      </c>
      <c r="G45" s="1" t="s">
        <v>108</v>
      </c>
      <c r="H45">
        <v>177832.56</v>
      </c>
      <c r="I45" s="2">
        <v>43389</v>
      </c>
      <c r="J45" s="2">
        <v>44485</v>
      </c>
      <c r="K45">
        <v>72756.97</v>
      </c>
    </row>
    <row r="46" spans="1:11" ht="409.5" x14ac:dyDescent="0.25">
      <c r="A46" t="str">
        <f>"70777865C6"</f>
        <v>70777865C6</v>
      </c>
      <c r="B46" t="str">
        <f t="shared" si="0"/>
        <v>06363391001</v>
      </c>
      <c r="C46" t="s">
        <v>16</v>
      </c>
      <c r="D46" t="s">
        <v>109</v>
      </c>
      <c r="E46" t="s">
        <v>70</v>
      </c>
      <c r="F46" s="1" t="s">
        <v>110</v>
      </c>
      <c r="G46" t="s">
        <v>111</v>
      </c>
      <c r="H46">
        <v>2595700</v>
      </c>
      <c r="I46" s="2">
        <v>42788</v>
      </c>
      <c r="J46" s="2">
        <v>44186</v>
      </c>
      <c r="K46">
        <v>3847.27</v>
      </c>
    </row>
    <row r="47" spans="1:11" ht="409.5" x14ac:dyDescent="0.25">
      <c r="A47" t="str">
        <f>"5773306AD1"</f>
        <v>5773306AD1</v>
      </c>
      <c r="B47" t="str">
        <f t="shared" si="0"/>
        <v>06363391001</v>
      </c>
      <c r="C47" t="s">
        <v>16</v>
      </c>
      <c r="D47" t="s">
        <v>112</v>
      </c>
      <c r="E47" t="s">
        <v>70</v>
      </c>
      <c r="F47" s="1" t="s">
        <v>113</v>
      </c>
      <c r="G47" t="s">
        <v>114</v>
      </c>
      <c r="H47">
        <v>1106201.04</v>
      </c>
      <c r="I47" s="2">
        <v>42269</v>
      </c>
      <c r="J47" s="2">
        <v>43496</v>
      </c>
      <c r="K47">
        <v>994546.26</v>
      </c>
    </row>
    <row r="48" spans="1:11" ht="90" x14ac:dyDescent="0.25">
      <c r="A48" t="str">
        <f>"754886614B"</f>
        <v>754886614B</v>
      </c>
      <c r="B48" t="str">
        <f t="shared" si="0"/>
        <v>06363391001</v>
      </c>
      <c r="C48" t="s">
        <v>16</v>
      </c>
      <c r="D48" t="s">
        <v>115</v>
      </c>
      <c r="E48" t="s">
        <v>18</v>
      </c>
      <c r="F48" s="1" t="s">
        <v>116</v>
      </c>
      <c r="G48" t="s">
        <v>117</v>
      </c>
      <c r="H48">
        <v>8253.1200000000008</v>
      </c>
      <c r="I48" s="2">
        <v>43446</v>
      </c>
      <c r="J48" s="2">
        <v>44907</v>
      </c>
      <c r="K48">
        <v>4054.46</v>
      </c>
    </row>
    <row r="49" spans="1:11" ht="90" x14ac:dyDescent="0.25">
      <c r="A49" t="str">
        <f>"75937798AA"</f>
        <v>75937798AA</v>
      </c>
      <c r="B49" t="str">
        <f t="shared" si="0"/>
        <v>06363391001</v>
      </c>
      <c r="C49" t="s">
        <v>16</v>
      </c>
      <c r="D49" t="s">
        <v>118</v>
      </c>
      <c r="E49" t="s">
        <v>18</v>
      </c>
      <c r="F49" s="1" t="s">
        <v>116</v>
      </c>
      <c r="G49" t="s">
        <v>117</v>
      </c>
      <c r="H49">
        <v>10747.2</v>
      </c>
      <c r="I49" s="2">
        <v>43505</v>
      </c>
      <c r="J49" s="2">
        <v>44966</v>
      </c>
      <c r="K49">
        <v>4933.3500000000004</v>
      </c>
    </row>
    <row r="50" spans="1:11" ht="90" x14ac:dyDescent="0.25">
      <c r="A50" t="str">
        <f>"7593757683"</f>
        <v>7593757683</v>
      </c>
      <c r="B50" t="str">
        <f t="shared" si="0"/>
        <v>06363391001</v>
      </c>
      <c r="C50" t="s">
        <v>16</v>
      </c>
      <c r="D50" t="s">
        <v>119</v>
      </c>
      <c r="E50" t="s">
        <v>18</v>
      </c>
      <c r="F50" s="1" t="s">
        <v>116</v>
      </c>
      <c r="G50" t="s">
        <v>117</v>
      </c>
      <c r="H50">
        <v>10747.2</v>
      </c>
      <c r="I50" s="2">
        <v>43501</v>
      </c>
      <c r="J50" s="2">
        <v>44961</v>
      </c>
      <c r="K50">
        <v>4575.0200000000004</v>
      </c>
    </row>
    <row r="51" spans="1:11" ht="90" x14ac:dyDescent="0.25">
      <c r="A51" t="str">
        <f>"7593798858"</f>
        <v>7593798858</v>
      </c>
      <c r="B51" t="str">
        <f t="shared" si="0"/>
        <v>06363391001</v>
      </c>
      <c r="C51" t="s">
        <v>16</v>
      </c>
      <c r="D51" t="s">
        <v>120</v>
      </c>
      <c r="E51" t="s">
        <v>18</v>
      </c>
      <c r="F51" s="1" t="s">
        <v>116</v>
      </c>
      <c r="G51" t="s">
        <v>117</v>
      </c>
      <c r="H51">
        <v>10747.2</v>
      </c>
      <c r="I51" s="2">
        <v>43512</v>
      </c>
      <c r="J51" s="2">
        <v>44972</v>
      </c>
      <c r="K51">
        <v>4459.83</v>
      </c>
    </row>
    <row r="52" spans="1:11" ht="90" x14ac:dyDescent="0.25">
      <c r="A52" t="str">
        <f>"7593728E92"</f>
        <v>7593728E92</v>
      </c>
      <c r="B52" t="str">
        <f t="shared" si="0"/>
        <v>06363391001</v>
      </c>
      <c r="C52" t="s">
        <v>16</v>
      </c>
      <c r="D52" t="s">
        <v>121</v>
      </c>
      <c r="E52" t="s">
        <v>18</v>
      </c>
      <c r="F52" s="1" t="s">
        <v>116</v>
      </c>
      <c r="G52" t="s">
        <v>117</v>
      </c>
      <c r="H52">
        <v>10747.2</v>
      </c>
      <c r="I52" s="2">
        <v>43499</v>
      </c>
      <c r="J52" s="2">
        <v>44959</v>
      </c>
      <c r="K52">
        <v>4621.4799999999996</v>
      </c>
    </row>
    <row r="53" spans="1:11" ht="210" x14ac:dyDescent="0.25">
      <c r="A53" t="str">
        <f>"ZED2661D69"</f>
        <v>ZED2661D69</v>
      </c>
      <c r="B53" t="str">
        <f t="shared" si="0"/>
        <v>06363391001</v>
      </c>
      <c r="C53" t="s">
        <v>16</v>
      </c>
      <c r="D53" t="s">
        <v>122</v>
      </c>
      <c r="E53" t="s">
        <v>40</v>
      </c>
      <c r="F53" s="1" t="s">
        <v>123</v>
      </c>
      <c r="G53" t="s">
        <v>124</v>
      </c>
      <c r="H53">
        <v>245.7</v>
      </c>
      <c r="I53" s="2">
        <v>43466</v>
      </c>
      <c r="J53" s="2">
        <v>43830</v>
      </c>
      <c r="K53">
        <v>245.69</v>
      </c>
    </row>
    <row r="54" spans="1:11" ht="105" x14ac:dyDescent="0.25">
      <c r="A54" t="str">
        <f>"ZEC265D882"</f>
        <v>ZEC265D882</v>
      </c>
      <c r="B54" t="str">
        <f t="shared" si="0"/>
        <v>06363391001</v>
      </c>
      <c r="C54" t="s">
        <v>16</v>
      </c>
      <c r="D54" t="s">
        <v>125</v>
      </c>
      <c r="E54" t="s">
        <v>40</v>
      </c>
      <c r="F54" s="1" t="s">
        <v>126</v>
      </c>
      <c r="G54" t="s">
        <v>127</v>
      </c>
      <c r="H54">
        <v>2997</v>
      </c>
      <c r="I54" s="2">
        <v>43466</v>
      </c>
      <c r="J54" s="2">
        <v>43830</v>
      </c>
      <c r="K54">
        <v>2997</v>
      </c>
    </row>
    <row r="55" spans="1:11" ht="345" x14ac:dyDescent="0.25">
      <c r="A55" t="str">
        <f>"715516876B"</f>
        <v>715516876B</v>
      </c>
      <c r="B55" t="str">
        <f t="shared" si="0"/>
        <v>06363391001</v>
      </c>
      <c r="C55" t="s">
        <v>16</v>
      </c>
      <c r="D55" t="s">
        <v>128</v>
      </c>
      <c r="E55" t="s">
        <v>70</v>
      </c>
      <c r="F55" s="1" t="s">
        <v>129</v>
      </c>
      <c r="G55" t="s">
        <v>130</v>
      </c>
      <c r="H55">
        <v>123456</v>
      </c>
      <c r="I55" s="2">
        <v>43101</v>
      </c>
      <c r="J55" s="2">
        <v>44227</v>
      </c>
      <c r="K55">
        <v>15968.29</v>
      </c>
    </row>
    <row r="56" spans="1:11" ht="90" x14ac:dyDescent="0.25">
      <c r="A56" t="str">
        <f>"Z6923C4778"</f>
        <v>Z6923C4778</v>
      </c>
      <c r="B56" t="str">
        <f t="shared" si="0"/>
        <v>06363391001</v>
      </c>
      <c r="C56" t="s">
        <v>16</v>
      </c>
      <c r="D56" t="s">
        <v>131</v>
      </c>
      <c r="E56" t="s">
        <v>132</v>
      </c>
      <c r="F56" s="1" t="s">
        <v>133</v>
      </c>
      <c r="G56" t="s">
        <v>134</v>
      </c>
      <c r="H56">
        <v>0</v>
      </c>
      <c r="I56" s="2">
        <v>43250</v>
      </c>
      <c r="J56" s="2">
        <v>43615</v>
      </c>
      <c r="K56">
        <v>580.89</v>
      </c>
    </row>
    <row r="57" spans="1:11" ht="90" x14ac:dyDescent="0.25">
      <c r="A57" t="str">
        <f>"Z4A2450E31"</f>
        <v>Z4A2450E31</v>
      </c>
      <c r="B57" t="str">
        <f t="shared" si="0"/>
        <v>06363391001</v>
      </c>
      <c r="C57" t="s">
        <v>16</v>
      </c>
      <c r="D57" t="s">
        <v>135</v>
      </c>
      <c r="E57" t="s">
        <v>132</v>
      </c>
      <c r="F57" s="1" t="s">
        <v>136</v>
      </c>
      <c r="G57" t="s">
        <v>137</v>
      </c>
      <c r="H57">
        <v>10000</v>
      </c>
      <c r="I57" s="2">
        <v>43343</v>
      </c>
      <c r="J57" s="2">
        <v>43708</v>
      </c>
      <c r="K57">
        <v>336.86</v>
      </c>
    </row>
    <row r="58" spans="1:11" ht="90" x14ac:dyDescent="0.25">
      <c r="A58" t="str">
        <f>"776568914B"</f>
        <v>776568914B</v>
      </c>
      <c r="B58" t="str">
        <f t="shared" si="0"/>
        <v>06363391001</v>
      </c>
      <c r="C58" t="s">
        <v>16</v>
      </c>
      <c r="D58" t="s">
        <v>138</v>
      </c>
      <c r="E58" t="s">
        <v>40</v>
      </c>
      <c r="F58" s="1" t="s">
        <v>139</v>
      </c>
      <c r="G58" t="s">
        <v>140</v>
      </c>
      <c r="H58">
        <v>0</v>
      </c>
      <c r="I58" s="2">
        <v>43467</v>
      </c>
      <c r="K58">
        <v>38254.300000000003</v>
      </c>
    </row>
    <row r="59" spans="1:11" ht="105" x14ac:dyDescent="0.25">
      <c r="A59" t="str">
        <f>"Z9A26E721C"</f>
        <v>Z9A26E721C</v>
      </c>
      <c r="B59" t="str">
        <f t="shared" si="0"/>
        <v>06363391001</v>
      </c>
      <c r="C59" t="s">
        <v>16</v>
      </c>
      <c r="D59" t="s">
        <v>141</v>
      </c>
      <c r="E59" t="s">
        <v>40</v>
      </c>
      <c r="F59" s="1" t="s">
        <v>142</v>
      </c>
      <c r="G59" t="s">
        <v>143</v>
      </c>
      <c r="H59">
        <v>1434</v>
      </c>
      <c r="I59" s="2">
        <v>43494</v>
      </c>
      <c r="J59" s="2">
        <v>43940</v>
      </c>
      <c r="K59">
        <v>1398.23</v>
      </c>
    </row>
    <row r="60" spans="1:11" ht="409.5" x14ac:dyDescent="0.25">
      <c r="A60" t="str">
        <f>"7693618E68"</f>
        <v>7693618E68</v>
      </c>
      <c r="B60" t="str">
        <f t="shared" si="0"/>
        <v>06363391001</v>
      </c>
      <c r="C60" t="s">
        <v>16</v>
      </c>
      <c r="D60" t="s">
        <v>144</v>
      </c>
      <c r="E60" t="s">
        <v>53</v>
      </c>
      <c r="F60" s="1" t="s">
        <v>145</v>
      </c>
      <c r="G60" t="s">
        <v>146</v>
      </c>
      <c r="H60">
        <v>200000</v>
      </c>
      <c r="I60" s="2">
        <v>43497</v>
      </c>
      <c r="J60" s="2">
        <v>43917</v>
      </c>
      <c r="K60">
        <v>94950.92</v>
      </c>
    </row>
    <row r="61" spans="1:11" ht="90" x14ac:dyDescent="0.25">
      <c r="A61" t="str">
        <f>"7782482350"</f>
        <v>7782482350</v>
      </c>
      <c r="B61" t="str">
        <f t="shared" si="0"/>
        <v>06363391001</v>
      </c>
      <c r="C61" t="s">
        <v>16</v>
      </c>
      <c r="D61" t="s">
        <v>147</v>
      </c>
      <c r="E61" t="s">
        <v>18</v>
      </c>
      <c r="F61" s="1" t="s">
        <v>104</v>
      </c>
      <c r="G61" t="s">
        <v>105</v>
      </c>
      <c r="H61">
        <v>0</v>
      </c>
      <c r="I61" s="2">
        <v>43556</v>
      </c>
      <c r="J61" s="2">
        <v>44165</v>
      </c>
      <c r="K61">
        <v>802483.44</v>
      </c>
    </row>
    <row r="62" spans="1:11" ht="120" x14ac:dyDescent="0.25">
      <c r="A62" t="str">
        <f>"Z6A27161F0"</f>
        <v>Z6A27161F0</v>
      </c>
      <c r="B62" t="str">
        <f t="shared" si="0"/>
        <v>06363391001</v>
      </c>
      <c r="C62" t="s">
        <v>16</v>
      </c>
      <c r="D62" t="s">
        <v>148</v>
      </c>
      <c r="E62" t="s">
        <v>40</v>
      </c>
      <c r="F62" s="1" t="s">
        <v>149</v>
      </c>
      <c r="G62" t="s">
        <v>150</v>
      </c>
      <c r="H62">
        <v>4900</v>
      </c>
      <c r="I62" s="2">
        <v>43466</v>
      </c>
      <c r="J62" s="2">
        <v>44196</v>
      </c>
      <c r="K62">
        <v>5306.7</v>
      </c>
    </row>
    <row r="63" spans="1:11" ht="409.5" x14ac:dyDescent="0.25">
      <c r="A63" t="str">
        <f>"Z16271CBBD"</f>
        <v>Z16271CBBD</v>
      </c>
      <c r="B63" t="str">
        <f t="shared" si="0"/>
        <v>06363391001</v>
      </c>
      <c r="C63" t="s">
        <v>16</v>
      </c>
      <c r="D63" t="s">
        <v>151</v>
      </c>
      <c r="E63" t="s">
        <v>40</v>
      </c>
      <c r="F63" s="1" t="s">
        <v>152</v>
      </c>
      <c r="G63" t="s">
        <v>153</v>
      </c>
      <c r="H63">
        <v>4500</v>
      </c>
      <c r="I63" s="2">
        <v>43509</v>
      </c>
      <c r="J63" s="2">
        <v>44239</v>
      </c>
      <c r="K63">
        <v>3214.76</v>
      </c>
    </row>
    <row r="64" spans="1:11" ht="90" x14ac:dyDescent="0.25">
      <c r="A64" t="str">
        <f>"ZA5277F88F"</f>
        <v>ZA5277F88F</v>
      </c>
      <c r="B64" t="str">
        <f t="shared" si="0"/>
        <v>06363391001</v>
      </c>
      <c r="C64" t="s">
        <v>16</v>
      </c>
      <c r="D64" t="s">
        <v>154</v>
      </c>
      <c r="E64" t="s">
        <v>40</v>
      </c>
      <c r="F64" s="1" t="s">
        <v>155</v>
      </c>
      <c r="G64" t="s">
        <v>156</v>
      </c>
      <c r="H64">
        <v>18000</v>
      </c>
      <c r="I64" s="2">
        <v>43546</v>
      </c>
      <c r="J64" s="2">
        <v>43912</v>
      </c>
      <c r="K64">
        <v>400</v>
      </c>
    </row>
    <row r="65" spans="1:11" ht="409.5" x14ac:dyDescent="0.25">
      <c r="A65" t="str">
        <f>"77840755E5"</f>
        <v>77840755E5</v>
      </c>
      <c r="B65" t="str">
        <f t="shared" si="0"/>
        <v>06363391001</v>
      </c>
      <c r="C65" t="s">
        <v>16</v>
      </c>
      <c r="D65" t="s">
        <v>157</v>
      </c>
      <c r="E65" t="s">
        <v>53</v>
      </c>
      <c r="F65" s="1" t="s">
        <v>158</v>
      </c>
      <c r="G65" t="s">
        <v>159</v>
      </c>
      <c r="H65">
        <v>193536</v>
      </c>
      <c r="I65" s="2">
        <v>43550</v>
      </c>
      <c r="J65" s="2">
        <v>43595</v>
      </c>
      <c r="K65">
        <v>180633.60000000001</v>
      </c>
    </row>
    <row r="66" spans="1:11" ht="90" x14ac:dyDescent="0.25">
      <c r="A66" t="str">
        <f>"7853489823"</f>
        <v>7853489823</v>
      </c>
      <c r="B66" t="str">
        <f t="shared" si="0"/>
        <v>06363391001</v>
      </c>
      <c r="C66" t="s">
        <v>16</v>
      </c>
      <c r="D66" t="s">
        <v>160</v>
      </c>
      <c r="E66" t="s">
        <v>18</v>
      </c>
      <c r="F66" s="1" t="s">
        <v>46</v>
      </c>
      <c r="G66" t="s">
        <v>47</v>
      </c>
      <c r="H66">
        <v>0</v>
      </c>
      <c r="I66" s="2">
        <v>43553</v>
      </c>
      <c r="J66" s="2">
        <v>43921</v>
      </c>
      <c r="K66">
        <v>659.44</v>
      </c>
    </row>
    <row r="67" spans="1:11" ht="195" x14ac:dyDescent="0.25">
      <c r="A67" t="str">
        <f>"7734900168"</f>
        <v>7734900168</v>
      </c>
      <c r="B67" t="str">
        <f t="shared" ref="B67:B130" si="1">"06363391001"</f>
        <v>06363391001</v>
      </c>
      <c r="C67" t="s">
        <v>16</v>
      </c>
      <c r="D67" t="s">
        <v>161</v>
      </c>
      <c r="E67" t="s">
        <v>53</v>
      </c>
      <c r="F67" s="1" t="s">
        <v>162</v>
      </c>
      <c r="G67" t="s">
        <v>163</v>
      </c>
      <c r="H67">
        <v>774698.63</v>
      </c>
      <c r="I67" s="2">
        <v>43555</v>
      </c>
      <c r="J67" s="2">
        <v>44620</v>
      </c>
      <c r="K67">
        <v>548000</v>
      </c>
    </row>
    <row r="68" spans="1:11" ht="105" x14ac:dyDescent="0.25">
      <c r="A68" t="str">
        <f>"ZD227E9A1D"</f>
        <v>ZD227E9A1D</v>
      </c>
      <c r="B68" t="str">
        <f t="shared" si="1"/>
        <v>06363391001</v>
      </c>
      <c r="C68" t="s">
        <v>16</v>
      </c>
      <c r="D68" t="s">
        <v>164</v>
      </c>
      <c r="E68" t="s">
        <v>132</v>
      </c>
      <c r="F68" s="1" t="s">
        <v>165</v>
      </c>
      <c r="G68" t="s">
        <v>166</v>
      </c>
      <c r="H68">
        <v>19000</v>
      </c>
      <c r="I68" s="2">
        <v>43564</v>
      </c>
      <c r="J68" s="2">
        <v>44295</v>
      </c>
      <c r="K68">
        <v>5412.86</v>
      </c>
    </row>
    <row r="69" spans="1:11" ht="90" x14ac:dyDescent="0.25">
      <c r="A69" t="str">
        <f>"7853899A7A"</f>
        <v>7853899A7A</v>
      </c>
      <c r="B69" t="str">
        <f t="shared" si="1"/>
        <v>06363391001</v>
      </c>
      <c r="C69" t="s">
        <v>16</v>
      </c>
      <c r="D69" t="s">
        <v>167</v>
      </c>
      <c r="E69" t="s">
        <v>40</v>
      </c>
      <c r="F69" s="1" t="s">
        <v>168</v>
      </c>
      <c r="G69" t="s">
        <v>169</v>
      </c>
      <c r="H69">
        <v>208000</v>
      </c>
      <c r="I69" s="2">
        <v>43553</v>
      </c>
      <c r="J69" s="2">
        <v>44284</v>
      </c>
      <c r="K69">
        <v>182000.17</v>
      </c>
    </row>
    <row r="70" spans="1:11" ht="409.5" x14ac:dyDescent="0.25">
      <c r="A70" t="str">
        <f>"708590629D"</f>
        <v>708590629D</v>
      </c>
      <c r="B70" t="str">
        <f t="shared" si="1"/>
        <v>06363391001</v>
      </c>
      <c r="C70" t="s">
        <v>16</v>
      </c>
      <c r="D70" t="s">
        <v>170</v>
      </c>
      <c r="E70" t="s">
        <v>53</v>
      </c>
      <c r="F70" s="1" t="s">
        <v>171</v>
      </c>
      <c r="G70" t="s">
        <v>172</v>
      </c>
      <c r="H70">
        <v>189036.77</v>
      </c>
      <c r="I70" s="2">
        <v>43132</v>
      </c>
      <c r="J70" s="2">
        <v>43646</v>
      </c>
      <c r="K70">
        <v>99602.26</v>
      </c>
    </row>
    <row r="71" spans="1:11" ht="409.5" x14ac:dyDescent="0.25">
      <c r="A71" t="str">
        <f>"ZBD27B3F72"</f>
        <v>ZBD27B3F72</v>
      </c>
      <c r="B71" t="str">
        <f t="shared" si="1"/>
        <v>06363391001</v>
      </c>
      <c r="C71" t="s">
        <v>16</v>
      </c>
      <c r="D71" t="s">
        <v>173</v>
      </c>
      <c r="E71" t="s">
        <v>53</v>
      </c>
      <c r="F71" s="1" t="s">
        <v>174</v>
      </c>
      <c r="G71" t="s">
        <v>175</v>
      </c>
      <c r="H71">
        <v>20300</v>
      </c>
      <c r="I71" s="2">
        <v>43609</v>
      </c>
      <c r="J71" s="2">
        <v>44705</v>
      </c>
      <c r="K71">
        <v>10299.93</v>
      </c>
    </row>
    <row r="72" spans="1:11" ht="135" x14ac:dyDescent="0.25">
      <c r="A72" t="str">
        <f>"7920365BF4"</f>
        <v>7920365BF4</v>
      </c>
      <c r="B72" t="str">
        <f t="shared" si="1"/>
        <v>06363391001</v>
      </c>
      <c r="C72" t="s">
        <v>16</v>
      </c>
      <c r="D72" t="s">
        <v>176</v>
      </c>
      <c r="E72" t="s">
        <v>18</v>
      </c>
      <c r="F72" s="1" t="s">
        <v>29</v>
      </c>
      <c r="G72" t="s">
        <v>30</v>
      </c>
      <c r="H72">
        <v>17463.599999999999</v>
      </c>
      <c r="I72" s="2">
        <v>43668</v>
      </c>
      <c r="J72" s="2">
        <v>45494</v>
      </c>
      <c r="K72">
        <v>4793.7</v>
      </c>
    </row>
    <row r="73" spans="1:11" ht="135" x14ac:dyDescent="0.25">
      <c r="A73" t="str">
        <f>"792036297B"</f>
        <v>792036297B</v>
      </c>
      <c r="B73" t="str">
        <f t="shared" si="1"/>
        <v>06363391001</v>
      </c>
      <c r="C73" t="s">
        <v>16</v>
      </c>
      <c r="D73" t="s">
        <v>177</v>
      </c>
      <c r="E73" t="s">
        <v>18</v>
      </c>
      <c r="F73" s="1" t="s">
        <v>29</v>
      </c>
      <c r="G73" t="s">
        <v>30</v>
      </c>
      <c r="H73">
        <v>8556</v>
      </c>
      <c r="I73" s="2">
        <v>43668</v>
      </c>
      <c r="J73" s="2">
        <v>45494</v>
      </c>
      <c r="K73">
        <v>1711.2</v>
      </c>
    </row>
    <row r="74" spans="1:11" ht="375" x14ac:dyDescent="0.25">
      <c r="A74" t="str">
        <f>"708592524B"</f>
        <v>708592524B</v>
      </c>
      <c r="B74" t="str">
        <f t="shared" si="1"/>
        <v>06363391001</v>
      </c>
      <c r="C74" t="s">
        <v>16</v>
      </c>
      <c r="D74" t="s">
        <v>178</v>
      </c>
      <c r="E74" t="s">
        <v>53</v>
      </c>
      <c r="F74" s="1" t="s">
        <v>179</v>
      </c>
      <c r="G74" t="s">
        <v>180</v>
      </c>
      <c r="H74">
        <v>47228.61</v>
      </c>
      <c r="I74" s="2">
        <v>43132</v>
      </c>
      <c r="J74" s="2">
        <v>43646</v>
      </c>
      <c r="K74">
        <v>31583.68</v>
      </c>
    </row>
    <row r="75" spans="1:11" ht="390" x14ac:dyDescent="0.25">
      <c r="A75" t="str">
        <f>"7085936B5C"</f>
        <v>7085936B5C</v>
      </c>
      <c r="B75" t="str">
        <f t="shared" si="1"/>
        <v>06363391001</v>
      </c>
      <c r="C75" t="s">
        <v>16</v>
      </c>
      <c r="D75" t="s">
        <v>181</v>
      </c>
      <c r="E75" t="s">
        <v>53</v>
      </c>
      <c r="F75" s="1" t="s">
        <v>182</v>
      </c>
      <c r="G75" t="s">
        <v>183</v>
      </c>
      <c r="H75">
        <v>210445.03</v>
      </c>
      <c r="I75" s="2">
        <v>43132</v>
      </c>
      <c r="J75" s="2">
        <v>43646</v>
      </c>
      <c r="K75">
        <v>145493.19</v>
      </c>
    </row>
    <row r="76" spans="1:11" ht="90" x14ac:dyDescent="0.25">
      <c r="A76" t="str">
        <f>"ZCA28A5DEB"</f>
        <v>ZCA28A5DEB</v>
      </c>
      <c r="B76" t="str">
        <f t="shared" si="1"/>
        <v>06363391001</v>
      </c>
      <c r="C76" t="s">
        <v>16</v>
      </c>
      <c r="D76" t="s">
        <v>184</v>
      </c>
      <c r="E76" t="s">
        <v>40</v>
      </c>
      <c r="F76" s="1" t="s">
        <v>185</v>
      </c>
      <c r="G76" t="s">
        <v>180</v>
      </c>
      <c r="H76">
        <v>10140</v>
      </c>
      <c r="I76" s="2">
        <v>43615</v>
      </c>
      <c r="J76" s="2">
        <v>43646</v>
      </c>
      <c r="K76">
        <v>9890</v>
      </c>
    </row>
    <row r="77" spans="1:11" ht="105" x14ac:dyDescent="0.25">
      <c r="A77" t="str">
        <f>"Z0527BBF51"</f>
        <v>Z0527BBF51</v>
      </c>
      <c r="B77" t="str">
        <f t="shared" si="1"/>
        <v>06363391001</v>
      </c>
      <c r="C77" t="s">
        <v>16</v>
      </c>
      <c r="D77" t="s">
        <v>186</v>
      </c>
      <c r="E77" t="s">
        <v>132</v>
      </c>
      <c r="F77" s="1" t="s">
        <v>187</v>
      </c>
      <c r="G77" t="s">
        <v>188</v>
      </c>
      <c r="H77">
        <v>12000</v>
      </c>
      <c r="I77" s="2">
        <v>43560</v>
      </c>
      <c r="J77" s="2">
        <v>44290</v>
      </c>
      <c r="K77">
        <v>2265.5</v>
      </c>
    </row>
    <row r="78" spans="1:11" ht="90" x14ac:dyDescent="0.25">
      <c r="A78" t="str">
        <f>"ZB927E9A3D"</f>
        <v>ZB927E9A3D</v>
      </c>
      <c r="B78" t="str">
        <f t="shared" si="1"/>
        <v>06363391001</v>
      </c>
      <c r="C78" t="s">
        <v>16</v>
      </c>
      <c r="D78" t="s">
        <v>189</v>
      </c>
      <c r="E78" t="s">
        <v>132</v>
      </c>
      <c r="F78" s="1" t="s">
        <v>190</v>
      </c>
      <c r="G78" t="s">
        <v>191</v>
      </c>
      <c r="H78">
        <v>34000</v>
      </c>
      <c r="I78" s="2">
        <v>43572</v>
      </c>
      <c r="J78" s="2">
        <v>44302</v>
      </c>
      <c r="K78">
        <v>14008.7</v>
      </c>
    </row>
    <row r="79" spans="1:11" ht="90" x14ac:dyDescent="0.25">
      <c r="A79" t="str">
        <f>"Z772795EC7"</f>
        <v>Z772795EC7</v>
      </c>
      <c r="B79" t="str">
        <f t="shared" si="1"/>
        <v>06363391001</v>
      </c>
      <c r="C79" t="s">
        <v>16</v>
      </c>
      <c r="D79" t="s">
        <v>192</v>
      </c>
      <c r="E79" t="s">
        <v>132</v>
      </c>
      <c r="F79" s="1" t="s">
        <v>193</v>
      </c>
      <c r="G79" t="s">
        <v>194</v>
      </c>
      <c r="H79">
        <v>20000</v>
      </c>
      <c r="I79" s="2">
        <v>43547</v>
      </c>
      <c r="J79" s="2">
        <v>44277</v>
      </c>
      <c r="K79">
        <v>8223.75</v>
      </c>
    </row>
    <row r="80" spans="1:11" ht="105" x14ac:dyDescent="0.25">
      <c r="A80" t="str">
        <f>"ZA32795EDF"</f>
        <v>ZA32795EDF</v>
      </c>
      <c r="B80" t="str">
        <f t="shared" si="1"/>
        <v>06363391001</v>
      </c>
      <c r="C80" t="s">
        <v>16</v>
      </c>
      <c r="D80" t="s">
        <v>195</v>
      </c>
      <c r="E80" t="s">
        <v>132</v>
      </c>
      <c r="F80" s="1" t="s">
        <v>196</v>
      </c>
      <c r="G80" t="s">
        <v>197</v>
      </c>
      <c r="H80">
        <v>18000</v>
      </c>
      <c r="I80" s="2">
        <v>43550</v>
      </c>
      <c r="J80" s="2">
        <v>44280</v>
      </c>
      <c r="K80">
        <v>2695.03</v>
      </c>
    </row>
    <row r="81" spans="1:11" ht="120" x14ac:dyDescent="0.25">
      <c r="A81" t="str">
        <f>"Z782795F0C"</f>
        <v>Z782795F0C</v>
      </c>
      <c r="B81" t="str">
        <f t="shared" si="1"/>
        <v>06363391001</v>
      </c>
      <c r="C81" t="s">
        <v>16</v>
      </c>
      <c r="D81" t="s">
        <v>198</v>
      </c>
      <c r="E81" t="s">
        <v>132</v>
      </c>
      <c r="F81" s="1" t="s">
        <v>199</v>
      </c>
      <c r="G81" t="s">
        <v>200</v>
      </c>
      <c r="H81">
        <v>28000</v>
      </c>
      <c r="I81" s="2">
        <v>43558</v>
      </c>
      <c r="J81" s="2">
        <v>44288</v>
      </c>
      <c r="K81">
        <v>4148.03</v>
      </c>
    </row>
    <row r="82" spans="1:11" ht="409.5" x14ac:dyDescent="0.25">
      <c r="A82" t="str">
        <f>"Z4D277B1C7"</f>
        <v>Z4D277B1C7</v>
      </c>
      <c r="B82" t="str">
        <f t="shared" si="1"/>
        <v>06363391001</v>
      </c>
      <c r="C82" t="s">
        <v>16</v>
      </c>
      <c r="D82" t="s">
        <v>201</v>
      </c>
      <c r="E82" t="s">
        <v>53</v>
      </c>
      <c r="F82" s="1" t="s">
        <v>202</v>
      </c>
      <c r="G82" t="s">
        <v>203</v>
      </c>
      <c r="H82">
        <v>12000</v>
      </c>
      <c r="I82" s="2">
        <v>43617</v>
      </c>
      <c r="J82" s="2">
        <v>44712</v>
      </c>
      <c r="K82">
        <v>6000</v>
      </c>
    </row>
    <row r="83" spans="1:11" ht="120" x14ac:dyDescent="0.25">
      <c r="A83" t="str">
        <f>"Z7327E9A00"</f>
        <v>Z7327E9A00</v>
      </c>
      <c r="B83" t="str">
        <f t="shared" si="1"/>
        <v>06363391001</v>
      </c>
      <c r="C83" t="s">
        <v>16</v>
      </c>
      <c r="D83" t="s">
        <v>204</v>
      </c>
      <c r="E83" t="s">
        <v>132</v>
      </c>
      <c r="F83" s="1" t="s">
        <v>205</v>
      </c>
      <c r="G83" t="s">
        <v>206</v>
      </c>
      <c r="H83">
        <v>21000</v>
      </c>
      <c r="I83" s="2">
        <v>43564</v>
      </c>
      <c r="J83" s="2">
        <v>44295</v>
      </c>
      <c r="K83">
        <v>7820.3</v>
      </c>
    </row>
    <row r="84" spans="1:11" ht="90" x14ac:dyDescent="0.25">
      <c r="A84" t="str">
        <f>"Z912831A4B"</f>
        <v>Z912831A4B</v>
      </c>
      <c r="B84" t="str">
        <f t="shared" si="1"/>
        <v>06363391001</v>
      </c>
      <c r="C84" t="s">
        <v>16</v>
      </c>
      <c r="D84" t="s">
        <v>207</v>
      </c>
      <c r="E84" t="s">
        <v>132</v>
      </c>
      <c r="F84" s="1" t="s">
        <v>208</v>
      </c>
      <c r="G84" t="s">
        <v>209</v>
      </c>
      <c r="H84">
        <v>30000</v>
      </c>
      <c r="I84" s="2">
        <v>43649</v>
      </c>
      <c r="J84" s="2">
        <v>44379</v>
      </c>
      <c r="K84">
        <v>6436.37</v>
      </c>
    </row>
    <row r="85" spans="1:11" ht="105" x14ac:dyDescent="0.25">
      <c r="A85" t="str">
        <f>"Z9628DD5EF"</f>
        <v>Z9628DD5EF</v>
      </c>
      <c r="B85" t="str">
        <f t="shared" si="1"/>
        <v>06363391001</v>
      </c>
      <c r="C85" t="s">
        <v>16</v>
      </c>
      <c r="D85" t="s">
        <v>210</v>
      </c>
      <c r="E85" t="s">
        <v>132</v>
      </c>
      <c r="F85" s="1" t="s">
        <v>211</v>
      </c>
      <c r="G85" t="s">
        <v>212</v>
      </c>
      <c r="H85">
        <v>1000</v>
      </c>
      <c r="I85" s="2">
        <v>43647</v>
      </c>
      <c r="J85" s="2">
        <v>44377</v>
      </c>
      <c r="K85">
        <v>522.71</v>
      </c>
    </row>
    <row r="86" spans="1:11" ht="105" x14ac:dyDescent="0.25">
      <c r="A86" t="str">
        <f>"Z7528DD6D8"</f>
        <v>Z7528DD6D8</v>
      </c>
      <c r="B86" t="str">
        <f t="shared" si="1"/>
        <v>06363391001</v>
      </c>
      <c r="C86" t="s">
        <v>16</v>
      </c>
      <c r="D86" t="s">
        <v>213</v>
      </c>
      <c r="E86" t="s">
        <v>132</v>
      </c>
      <c r="F86" s="1" t="s">
        <v>214</v>
      </c>
      <c r="G86" t="s">
        <v>215</v>
      </c>
      <c r="H86">
        <v>17000</v>
      </c>
      <c r="I86" s="2">
        <v>43651</v>
      </c>
      <c r="J86" s="2">
        <v>44381</v>
      </c>
      <c r="K86">
        <v>2459.6999999999998</v>
      </c>
    </row>
    <row r="87" spans="1:11" ht="105" x14ac:dyDescent="0.25">
      <c r="A87" t="str">
        <f>"Z1228DD79D"</f>
        <v>Z1228DD79D</v>
      </c>
      <c r="B87" t="str">
        <f t="shared" si="1"/>
        <v>06363391001</v>
      </c>
      <c r="C87" t="s">
        <v>16</v>
      </c>
      <c r="D87" t="s">
        <v>216</v>
      </c>
      <c r="E87" t="s">
        <v>132</v>
      </c>
      <c r="F87" s="1" t="s">
        <v>217</v>
      </c>
      <c r="G87" t="s">
        <v>218</v>
      </c>
      <c r="H87">
        <v>0</v>
      </c>
      <c r="I87" s="2">
        <v>43651</v>
      </c>
      <c r="J87" s="2">
        <v>44016</v>
      </c>
      <c r="K87">
        <v>42602.35</v>
      </c>
    </row>
    <row r="88" spans="1:11" ht="120" x14ac:dyDescent="0.25">
      <c r="A88" t="str">
        <f>"Z0E28DD58E"</f>
        <v>Z0E28DD58E</v>
      </c>
      <c r="B88" t="str">
        <f t="shared" si="1"/>
        <v>06363391001</v>
      </c>
      <c r="C88" t="s">
        <v>16</v>
      </c>
      <c r="D88" t="s">
        <v>135</v>
      </c>
      <c r="E88" t="s">
        <v>132</v>
      </c>
      <c r="F88" s="1" t="s">
        <v>219</v>
      </c>
      <c r="G88" t="s">
        <v>220</v>
      </c>
      <c r="H88">
        <v>19000</v>
      </c>
      <c r="I88" s="2">
        <v>43658</v>
      </c>
      <c r="J88" s="2">
        <v>44388</v>
      </c>
      <c r="K88">
        <v>13867.15</v>
      </c>
    </row>
    <row r="89" spans="1:11" ht="90" x14ac:dyDescent="0.25">
      <c r="A89" t="str">
        <f>"7928745F58"</f>
        <v>7928745F58</v>
      </c>
      <c r="B89" t="str">
        <f t="shared" si="1"/>
        <v>06363391001</v>
      </c>
      <c r="C89" t="s">
        <v>16</v>
      </c>
      <c r="D89" t="s">
        <v>221</v>
      </c>
      <c r="E89" t="s">
        <v>18</v>
      </c>
      <c r="F89" s="1" t="s">
        <v>46</v>
      </c>
      <c r="G89" t="s">
        <v>47</v>
      </c>
      <c r="H89">
        <v>0</v>
      </c>
      <c r="I89" s="2">
        <v>43635</v>
      </c>
      <c r="J89" s="2">
        <v>44001</v>
      </c>
      <c r="K89">
        <v>29665.96</v>
      </c>
    </row>
    <row r="90" spans="1:11" ht="360" x14ac:dyDescent="0.25">
      <c r="A90" t="str">
        <f>"Z4328AFDA0"</f>
        <v>Z4328AFDA0</v>
      </c>
      <c r="B90" t="str">
        <f t="shared" si="1"/>
        <v>06363391001</v>
      </c>
      <c r="C90" t="s">
        <v>16</v>
      </c>
      <c r="D90" t="s">
        <v>222</v>
      </c>
      <c r="E90" t="s">
        <v>53</v>
      </c>
      <c r="F90" s="1" t="s">
        <v>223</v>
      </c>
      <c r="G90" t="s">
        <v>224</v>
      </c>
      <c r="H90">
        <v>8000</v>
      </c>
      <c r="I90" s="2">
        <v>43671</v>
      </c>
      <c r="J90" s="2">
        <v>44401</v>
      </c>
      <c r="K90">
        <v>5583.5</v>
      </c>
    </row>
    <row r="91" spans="1:11" ht="90" x14ac:dyDescent="0.25">
      <c r="A91" t="str">
        <f>"7776959596"</f>
        <v>7776959596</v>
      </c>
      <c r="B91" t="str">
        <f t="shared" si="1"/>
        <v>06363391001</v>
      </c>
      <c r="C91" t="s">
        <v>16</v>
      </c>
      <c r="D91" t="s">
        <v>225</v>
      </c>
      <c r="E91" t="s">
        <v>18</v>
      </c>
      <c r="F91" s="1" t="s">
        <v>116</v>
      </c>
      <c r="G91" t="s">
        <v>117</v>
      </c>
      <c r="H91">
        <v>10853.76</v>
      </c>
      <c r="I91" s="2">
        <v>43670</v>
      </c>
      <c r="J91" s="2">
        <v>45130</v>
      </c>
      <c r="K91">
        <v>3638.97</v>
      </c>
    </row>
    <row r="92" spans="1:11" ht="90" x14ac:dyDescent="0.25">
      <c r="A92" t="str">
        <f>"7776933023"</f>
        <v>7776933023</v>
      </c>
      <c r="B92" t="str">
        <f t="shared" si="1"/>
        <v>06363391001</v>
      </c>
      <c r="C92" t="s">
        <v>16</v>
      </c>
      <c r="D92" t="s">
        <v>226</v>
      </c>
      <c r="E92" t="s">
        <v>18</v>
      </c>
      <c r="F92" s="1" t="s">
        <v>116</v>
      </c>
      <c r="G92" t="s">
        <v>117</v>
      </c>
      <c r="H92">
        <v>11088.48</v>
      </c>
      <c r="I92" s="2">
        <v>43670</v>
      </c>
      <c r="J92" s="2">
        <v>45130</v>
      </c>
      <c r="K92">
        <v>3748.32</v>
      </c>
    </row>
    <row r="93" spans="1:11" ht="390" x14ac:dyDescent="0.25">
      <c r="A93" t="str">
        <f>"Z75293403F"</f>
        <v>Z75293403F</v>
      </c>
      <c r="B93" t="str">
        <f t="shared" si="1"/>
        <v>06363391001</v>
      </c>
      <c r="C93" t="s">
        <v>16</v>
      </c>
      <c r="D93" t="s">
        <v>227</v>
      </c>
      <c r="E93" t="s">
        <v>53</v>
      </c>
      <c r="F93" s="1" t="s">
        <v>228</v>
      </c>
      <c r="G93" t="s">
        <v>229</v>
      </c>
      <c r="H93">
        <v>39954.589999999997</v>
      </c>
      <c r="I93" s="2">
        <v>43678</v>
      </c>
      <c r="J93" s="2">
        <v>44043</v>
      </c>
      <c r="K93">
        <v>20377.849999999999</v>
      </c>
    </row>
    <row r="94" spans="1:11" ht="90" x14ac:dyDescent="0.25">
      <c r="A94" t="str">
        <f>"ZC2273C8E1"</f>
        <v>ZC2273C8E1</v>
      </c>
      <c r="B94" t="str">
        <f t="shared" si="1"/>
        <v>06363391001</v>
      </c>
      <c r="C94" t="s">
        <v>16</v>
      </c>
      <c r="D94" t="s">
        <v>230</v>
      </c>
      <c r="E94" t="s">
        <v>40</v>
      </c>
      <c r="F94" s="1" t="s">
        <v>231</v>
      </c>
      <c r="G94" t="s">
        <v>232</v>
      </c>
      <c r="H94">
        <v>19500</v>
      </c>
      <c r="I94" s="2">
        <v>43525</v>
      </c>
      <c r="J94" s="2">
        <v>43830</v>
      </c>
      <c r="K94">
        <v>14573</v>
      </c>
    </row>
    <row r="95" spans="1:11" ht="409.5" x14ac:dyDescent="0.25">
      <c r="A95" t="str">
        <f>"ZBB27F1265"</f>
        <v>ZBB27F1265</v>
      </c>
      <c r="B95" t="str">
        <f t="shared" si="1"/>
        <v>06363391001</v>
      </c>
      <c r="C95" t="s">
        <v>16</v>
      </c>
      <c r="D95" t="s">
        <v>233</v>
      </c>
      <c r="E95" t="s">
        <v>53</v>
      </c>
      <c r="F95" s="1" t="s">
        <v>234</v>
      </c>
      <c r="G95" t="s">
        <v>235</v>
      </c>
      <c r="H95">
        <v>39000</v>
      </c>
      <c r="I95" s="2">
        <v>43605</v>
      </c>
      <c r="J95" s="2">
        <v>44336</v>
      </c>
      <c r="K95">
        <v>40921</v>
      </c>
    </row>
    <row r="96" spans="1:11" ht="360" x14ac:dyDescent="0.25">
      <c r="A96" t="str">
        <f>"ZE32947263"</f>
        <v>ZE32947263</v>
      </c>
      <c r="B96" t="str">
        <f t="shared" si="1"/>
        <v>06363391001</v>
      </c>
      <c r="C96" t="s">
        <v>16</v>
      </c>
      <c r="D96" t="s">
        <v>236</v>
      </c>
      <c r="E96" t="s">
        <v>53</v>
      </c>
      <c r="F96" s="1" t="s">
        <v>237</v>
      </c>
      <c r="G96" t="s">
        <v>238</v>
      </c>
      <c r="H96">
        <v>38855</v>
      </c>
      <c r="I96" s="2">
        <v>43718</v>
      </c>
      <c r="J96" s="2">
        <v>44083</v>
      </c>
      <c r="K96">
        <v>21223.46</v>
      </c>
    </row>
    <row r="97" spans="1:11" ht="90" x14ac:dyDescent="0.25">
      <c r="A97" t="str">
        <f>"79901017ED"</f>
        <v>79901017ED</v>
      </c>
      <c r="B97" t="str">
        <f t="shared" si="1"/>
        <v>06363391001</v>
      </c>
      <c r="C97" t="s">
        <v>16</v>
      </c>
      <c r="D97" t="s">
        <v>239</v>
      </c>
      <c r="E97" t="s">
        <v>18</v>
      </c>
      <c r="F97" s="1" t="s">
        <v>104</v>
      </c>
      <c r="G97" t="s">
        <v>105</v>
      </c>
      <c r="H97">
        <v>0</v>
      </c>
      <c r="I97" s="2">
        <v>43739</v>
      </c>
      <c r="J97" s="2">
        <v>44104</v>
      </c>
      <c r="K97">
        <v>155613.68</v>
      </c>
    </row>
    <row r="98" spans="1:11" ht="90" x14ac:dyDescent="0.25">
      <c r="A98" t="str">
        <f>"Z6B2969D58"</f>
        <v>Z6B2969D58</v>
      </c>
      <c r="B98" t="str">
        <f t="shared" si="1"/>
        <v>06363391001</v>
      </c>
      <c r="C98" t="s">
        <v>16</v>
      </c>
      <c r="D98" t="s">
        <v>240</v>
      </c>
      <c r="E98" t="s">
        <v>18</v>
      </c>
      <c r="F98" s="1" t="s">
        <v>104</v>
      </c>
      <c r="G98" t="s">
        <v>105</v>
      </c>
      <c r="H98">
        <v>0</v>
      </c>
      <c r="I98" s="2">
        <v>43739</v>
      </c>
      <c r="J98" s="2">
        <v>44104</v>
      </c>
      <c r="K98">
        <v>3323.35</v>
      </c>
    </row>
    <row r="99" spans="1:11" ht="90" x14ac:dyDescent="0.25">
      <c r="A99" t="str">
        <f>"ZDF29CD489"</f>
        <v>ZDF29CD489</v>
      </c>
      <c r="B99" t="str">
        <f t="shared" si="1"/>
        <v>06363391001</v>
      </c>
      <c r="C99" t="s">
        <v>16</v>
      </c>
      <c r="D99" t="s">
        <v>241</v>
      </c>
      <c r="E99" t="s">
        <v>40</v>
      </c>
      <c r="F99" s="1" t="s">
        <v>242</v>
      </c>
      <c r="G99" t="s">
        <v>243</v>
      </c>
      <c r="H99">
        <v>18200</v>
      </c>
      <c r="I99" s="2">
        <v>43738</v>
      </c>
      <c r="J99" s="2">
        <v>43830</v>
      </c>
      <c r="K99">
        <v>18200</v>
      </c>
    </row>
    <row r="100" spans="1:11" ht="135" x14ac:dyDescent="0.25">
      <c r="A100" t="str">
        <f>"Z82294F80F"</f>
        <v>Z82294F80F</v>
      </c>
      <c r="B100" t="str">
        <f t="shared" si="1"/>
        <v>06363391001</v>
      </c>
      <c r="C100" t="s">
        <v>16</v>
      </c>
      <c r="D100" t="s">
        <v>38</v>
      </c>
      <c r="E100" t="s">
        <v>18</v>
      </c>
      <c r="F100" s="1" t="s">
        <v>29</v>
      </c>
      <c r="G100" t="s">
        <v>30</v>
      </c>
      <c r="H100">
        <v>2740</v>
      </c>
      <c r="I100" s="2">
        <v>43718</v>
      </c>
      <c r="J100" s="2">
        <v>45178</v>
      </c>
      <c r="K100">
        <v>685</v>
      </c>
    </row>
    <row r="101" spans="1:11" ht="135" x14ac:dyDescent="0.25">
      <c r="A101" t="str">
        <f>"6827426A29"</f>
        <v>6827426A29</v>
      </c>
      <c r="B101" t="str">
        <f t="shared" si="1"/>
        <v>06363391001</v>
      </c>
      <c r="C101" t="s">
        <v>16</v>
      </c>
      <c r="D101" t="s">
        <v>244</v>
      </c>
      <c r="E101" t="s">
        <v>18</v>
      </c>
      <c r="F101" s="1" t="s">
        <v>29</v>
      </c>
      <c r="G101" t="s">
        <v>30</v>
      </c>
      <c r="H101">
        <v>1716.32</v>
      </c>
      <c r="I101" s="2">
        <v>42689</v>
      </c>
      <c r="J101" s="2">
        <v>44149</v>
      </c>
      <c r="K101">
        <v>1716.32</v>
      </c>
    </row>
    <row r="102" spans="1:11" ht="90" x14ac:dyDescent="0.25">
      <c r="A102" t="str">
        <f>"Z5229E871E"</f>
        <v>Z5229E871E</v>
      </c>
      <c r="B102" t="str">
        <f t="shared" si="1"/>
        <v>06363391001</v>
      </c>
      <c r="C102" t="s">
        <v>16</v>
      </c>
      <c r="D102" t="s">
        <v>245</v>
      </c>
      <c r="E102" t="s">
        <v>132</v>
      </c>
      <c r="F102" s="1" t="s">
        <v>246</v>
      </c>
      <c r="G102" t="s">
        <v>247</v>
      </c>
      <c r="H102">
        <v>2000</v>
      </c>
      <c r="I102" s="2">
        <v>43745</v>
      </c>
      <c r="J102" s="2">
        <v>44475</v>
      </c>
      <c r="K102">
        <v>1250.01</v>
      </c>
    </row>
    <row r="103" spans="1:11" ht="105" x14ac:dyDescent="0.25">
      <c r="A103" t="str">
        <f>"804385819D"</f>
        <v>804385819D</v>
      </c>
      <c r="B103" t="str">
        <f t="shared" si="1"/>
        <v>06363391001</v>
      </c>
      <c r="C103" t="s">
        <v>16</v>
      </c>
      <c r="D103" t="s">
        <v>248</v>
      </c>
      <c r="E103" t="s">
        <v>18</v>
      </c>
      <c r="F103" s="1" t="s">
        <v>249</v>
      </c>
      <c r="G103" t="s">
        <v>250</v>
      </c>
      <c r="H103">
        <v>0</v>
      </c>
      <c r="I103" s="2">
        <v>43753</v>
      </c>
      <c r="J103" s="2">
        <v>43876</v>
      </c>
      <c r="K103">
        <v>101372.72</v>
      </c>
    </row>
    <row r="104" spans="1:11" ht="105" x14ac:dyDescent="0.25">
      <c r="A104" t="str">
        <f>"80444466D7"</f>
        <v>80444466D7</v>
      </c>
      <c r="B104" t="str">
        <f t="shared" si="1"/>
        <v>06363391001</v>
      </c>
      <c r="C104" t="s">
        <v>16</v>
      </c>
      <c r="D104" t="s">
        <v>251</v>
      </c>
      <c r="E104" t="s">
        <v>18</v>
      </c>
      <c r="F104" s="1" t="s">
        <v>249</v>
      </c>
      <c r="G104" t="s">
        <v>250</v>
      </c>
      <c r="H104">
        <v>0</v>
      </c>
      <c r="I104" s="2">
        <v>43770</v>
      </c>
      <c r="J104" s="2">
        <v>43951</v>
      </c>
      <c r="K104">
        <v>36365.19</v>
      </c>
    </row>
    <row r="105" spans="1:11" ht="90" x14ac:dyDescent="0.25">
      <c r="A105" t="str">
        <f>"7528143421"</f>
        <v>7528143421</v>
      </c>
      <c r="B105" t="str">
        <f t="shared" si="1"/>
        <v>06363391001</v>
      </c>
      <c r="C105" t="s">
        <v>16</v>
      </c>
      <c r="D105" t="s">
        <v>252</v>
      </c>
      <c r="E105" t="s">
        <v>18</v>
      </c>
      <c r="F105" s="1" t="s">
        <v>116</v>
      </c>
      <c r="G105" t="s">
        <v>117</v>
      </c>
      <c r="H105">
        <v>8253.1200000000008</v>
      </c>
      <c r="I105" s="2">
        <v>43429</v>
      </c>
      <c r="J105" s="2">
        <v>44889</v>
      </c>
      <c r="K105">
        <v>4087.44</v>
      </c>
    </row>
    <row r="106" spans="1:11" ht="135" x14ac:dyDescent="0.25">
      <c r="A106" t="str">
        <f>"6804394B8D"</f>
        <v>6804394B8D</v>
      </c>
      <c r="B106" t="str">
        <f t="shared" si="1"/>
        <v>06363391001</v>
      </c>
      <c r="C106" t="s">
        <v>16</v>
      </c>
      <c r="D106" t="s">
        <v>253</v>
      </c>
      <c r="E106" t="s">
        <v>18</v>
      </c>
      <c r="F106" s="1" t="s">
        <v>33</v>
      </c>
      <c r="G106" t="s">
        <v>34</v>
      </c>
      <c r="H106">
        <v>11927.04</v>
      </c>
      <c r="I106" s="2">
        <v>42744</v>
      </c>
      <c r="J106" s="2">
        <v>44205</v>
      </c>
      <c r="K106">
        <v>12030.74</v>
      </c>
    </row>
    <row r="107" spans="1:11" ht="135" x14ac:dyDescent="0.25">
      <c r="A107" t="str">
        <f>"68043810D6"</f>
        <v>68043810D6</v>
      </c>
      <c r="B107" t="str">
        <f t="shared" si="1"/>
        <v>06363391001</v>
      </c>
      <c r="C107" t="s">
        <v>16</v>
      </c>
      <c r="D107" t="s">
        <v>253</v>
      </c>
      <c r="E107" t="s">
        <v>18</v>
      </c>
      <c r="F107" s="1" t="s">
        <v>33</v>
      </c>
      <c r="G107" t="s">
        <v>34</v>
      </c>
      <c r="H107">
        <v>14979.84</v>
      </c>
      <c r="I107" s="2">
        <v>42776</v>
      </c>
      <c r="J107" s="2">
        <v>44237</v>
      </c>
      <c r="K107">
        <v>14549</v>
      </c>
    </row>
    <row r="108" spans="1:11" ht="135" x14ac:dyDescent="0.25">
      <c r="A108" t="str">
        <f>"6680892E79"</f>
        <v>6680892E79</v>
      </c>
      <c r="B108" t="str">
        <f t="shared" si="1"/>
        <v>06363391001</v>
      </c>
      <c r="C108" t="s">
        <v>16</v>
      </c>
      <c r="D108" t="s">
        <v>254</v>
      </c>
      <c r="E108" t="s">
        <v>18</v>
      </c>
      <c r="F108" s="1" t="s">
        <v>33</v>
      </c>
      <c r="G108" t="s">
        <v>34</v>
      </c>
      <c r="H108">
        <v>15190.08</v>
      </c>
      <c r="I108" s="2">
        <v>42592</v>
      </c>
      <c r="J108" s="2">
        <v>44053</v>
      </c>
      <c r="K108">
        <v>16171.94</v>
      </c>
    </row>
    <row r="109" spans="1:11" ht="135" x14ac:dyDescent="0.25">
      <c r="A109" t="str">
        <f>"6616588525"</f>
        <v>6616588525</v>
      </c>
      <c r="B109" t="str">
        <f t="shared" si="1"/>
        <v>06363391001</v>
      </c>
      <c r="C109" t="s">
        <v>16</v>
      </c>
      <c r="D109" t="s">
        <v>255</v>
      </c>
      <c r="E109" t="s">
        <v>18</v>
      </c>
      <c r="F109" s="1" t="s">
        <v>33</v>
      </c>
      <c r="G109" t="s">
        <v>34</v>
      </c>
      <c r="H109">
        <v>16433.28</v>
      </c>
      <c r="I109" s="2">
        <v>42578</v>
      </c>
      <c r="J109" s="2">
        <v>44039</v>
      </c>
      <c r="K109">
        <v>16399.45</v>
      </c>
    </row>
    <row r="110" spans="1:11" ht="135" x14ac:dyDescent="0.25">
      <c r="A110" t="str">
        <f>"65751311C0"</f>
        <v>65751311C0</v>
      </c>
      <c r="B110" t="str">
        <f t="shared" si="1"/>
        <v>06363391001</v>
      </c>
      <c r="C110" t="s">
        <v>16</v>
      </c>
      <c r="D110" t="s">
        <v>256</v>
      </c>
      <c r="E110" t="s">
        <v>18</v>
      </c>
      <c r="F110" s="1" t="s">
        <v>33</v>
      </c>
      <c r="G110" t="s">
        <v>34</v>
      </c>
      <c r="H110">
        <v>14979.84</v>
      </c>
      <c r="I110" s="2">
        <v>42594</v>
      </c>
      <c r="J110" s="2">
        <v>44055</v>
      </c>
      <c r="K110">
        <v>15104.07</v>
      </c>
    </row>
    <row r="111" spans="1:11" ht="135" x14ac:dyDescent="0.25">
      <c r="A111" t="str">
        <f>"6575138785"</f>
        <v>6575138785</v>
      </c>
      <c r="B111" t="str">
        <f t="shared" si="1"/>
        <v>06363391001</v>
      </c>
      <c r="C111" t="s">
        <v>16</v>
      </c>
      <c r="D111" t="s">
        <v>257</v>
      </c>
      <c r="E111" t="s">
        <v>18</v>
      </c>
      <c r="F111" s="1" t="s">
        <v>33</v>
      </c>
      <c r="G111" t="s">
        <v>34</v>
      </c>
      <c r="H111">
        <v>16433.28</v>
      </c>
      <c r="I111" s="2">
        <v>42571</v>
      </c>
      <c r="J111" s="2">
        <v>44032</v>
      </c>
      <c r="K111">
        <v>16683.560000000001</v>
      </c>
    </row>
    <row r="112" spans="1:11" ht="135" x14ac:dyDescent="0.25">
      <c r="A112" t="str">
        <f>"6558362388"</f>
        <v>6558362388</v>
      </c>
      <c r="B112" t="str">
        <f t="shared" si="1"/>
        <v>06363391001</v>
      </c>
      <c r="C112" t="s">
        <v>16</v>
      </c>
      <c r="D112" t="s">
        <v>258</v>
      </c>
      <c r="E112" t="s">
        <v>18</v>
      </c>
      <c r="F112" s="1" t="s">
        <v>33</v>
      </c>
      <c r="G112" t="s">
        <v>34</v>
      </c>
      <c r="H112">
        <v>15872.96</v>
      </c>
      <c r="I112" s="2">
        <v>42535</v>
      </c>
      <c r="J112" s="2">
        <v>43996</v>
      </c>
      <c r="K112">
        <v>13811.91</v>
      </c>
    </row>
    <row r="113" spans="1:11" ht="120" x14ac:dyDescent="0.25">
      <c r="A113" t="str">
        <f>"7451338EA0"</f>
        <v>7451338EA0</v>
      </c>
      <c r="B113" t="str">
        <f t="shared" si="1"/>
        <v>06363391001</v>
      </c>
      <c r="C113" t="s">
        <v>16</v>
      </c>
      <c r="D113" t="s">
        <v>259</v>
      </c>
      <c r="E113" t="s">
        <v>18</v>
      </c>
      <c r="F113" s="1" t="s">
        <v>260</v>
      </c>
      <c r="G113" t="s">
        <v>261</v>
      </c>
      <c r="H113">
        <v>8287.2000000000007</v>
      </c>
      <c r="I113" s="2">
        <v>43409</v>
      </c>
      <c r="J113" s="2">
        <v>44869</v>
      </c>
      <c r="K113">
        <v>4258.68</v>
      </c>
    </row>
    <row r="114" spans="1:11" ht="90" x14ac:dyDescent="0.25">
      <c r="A114" t="str">
        <f>"ZB429E870F"</f>
        <v>ZB429E870F</v>
      </c>
      <c r="B114" t="str">
        <f t="shared" si="1"/>
        <v>06363391001</v>
      </c>
      <c r="C114" t="s">
        <v>16</v>
      </c>
      <c r="D114" t="s">
        <v>262</v>
      </c>
      <c r="E114" t="s">
        <v>132</v>
      </c>
      <c r="F114" s="1" t="s">
        <v>263</v>
      </c>
      <c r="G114" t="s">
        <v>264</v>
      </c>
      <c r="H114">
        <v>39000</v>
      </c>
      <c r="I114" s="2">
        <v>43745</v>
      </c>
      <c r="J114" s="2">
        <v>44475</v>
      </c>
      <c r="K114">
        <v>10287.11</v>
      </c>
    </row>
    <row r="115" spans="1:11" ht="90" x14ac:dyDescent="0.25">
      <c r="A115" t="str">
        <f>"Z9D2A6820A"</f>
        <v>Z9D2A6820A</v>
      </c>
      <c r="B115" t="str">
        <f t="shared" si="1"/>
        <v>06363391001</v>
      </c>
      <c r="C115" t="s">
        <v>16</v>
      </c>
      <c r="D115" t="s">
        <v>265</v>
      </c>
      <c r="E115" t="s">
        <v>132</v>
      </c>
      <c r="F115" s="1" t="s">
        <v>133</v>
      </c>
      <c r="G115" t="s">
        <v>134</v>
      </c>
      <c r="H115">
        <v>1000</v>
      </c>
      <c r="I115" s="2">
        <v>43788</v>
      </c>
      <c r="J115" s="2">
        <v>44519</v>
      </c>
      <c r="K115">
        <v>432.67</v>
      </c>
    </row>
    <row r="116" spans="1:11" ht="150" x14ac:dyDescent="0.25">
      <c r="A116" t="str">
        <f>"79029443B3"</f>
        <v>79029443B3</v>
      </c>
      <c r="B116" t="str">
        <f t="shared" si="1"/>
        <v>06363391001</v>
      </c>
      <c r="C116" t="s">
        <v>16</v>
      </c>
      <c r="D116" t="s">
        <v>266</v>
      </c>
      <c r="E116" t="s">
        <v>18</v>
      </c>
      <c r="F116" s="1" t="s">
        <v>267</v>
      </c>
      <c r="G116" t="s">
        <v>268</v>
      </c>
      <c r="H116">
        <v>19672.13</v>
      </c>
      <c r="I116" s="2">
        <v>43599</v>
      </c>
      <c r="J116" s="2">
        <v>43830</v>
      </c>
      <c r="K116">
        <v>2387.71</v>
      </c>
    </row>
    <row r="117" spans="1:11" ht="90" x14ac:dyDescent="0.25">
      <c r="A117" t="str">
        <f>"ZC829BFF75"</f>
        <v>ZC829BFF75</v>
      </c>
      <c r="B117" t="str">
        <f t="shared" si="1"/>
        <v>06363391001</v>
      </c>
      <c r="C117" t="s">
        <v>16</v>
      </c>
      <c r="D117" t="s">
        <v>269</v>
      </c>
      <c r="E117" t="s">
        <v>132</v>
      </c>
      <c r="F117" s="1" t="s">
        <v>270</v>
      </c>
      <c r="G117" t="s">
        <v>271</v>
      </c>
      <c r="H117">
        <v>4000</v>
      </c>
      <c r="I117" s="2">
        <v>43731</v>
      </c>
      <c r="J117" s="2">
        <v>44461</v>
      </c>
      <c r="K117">
        <v>1174.08</v>
      </c>
    </row>
    <row r="118" spans="1:11" ht="90" x14ac:dyDescent="0.25">
      <c r="A118" t="str">
        <f>"Z4C2A69759"</f>
        <v>Z4C2A69759</v>
      </c>
      <c r="B118" t="str">
        <f t="shared" si="1"/>
        <v>06363391001</v>
      </c>
      <c r="C118" t="s">
        <v>16</v>
      </c>
      <c r="D118" t="s">
        <v>272</v>
      </c>
      <c r="E118" t="s">
        <v>40</v>
      </c>
      <c r="F118" s="1" t="s">
        <v>273</v>
      </c>
      <c r="G118" t="s">
        <v>274</v>
      </c>
      <c r="H118">
        <v>4900</v>
      </c>
      <c r="I118" s="2">
        <v>43768</v>
      </c>
      <c r="J118" s="2">
        <v>43784</v>
      </c>
      <c r="K118">
        <v>4900</v>
      </c>
    </row>
    <row r="119" spans="1:11" ht="120" x14ac:dyDescent="0.25">
      <c r="A119" t="str">
        <f>"Z492A78BA8"</f>
        <v>Z492A78BA8</v>
      </c>
      <c r="B119" t="str">
        <f t="shared" si="1"/>
        <v>06363391001</v>
      </c>
      <c r="C119" t="s">
        <v>16</v>
      </c>
      <c r="D119" t="s">
        <v>275</v>
      </c>
      <c r="E119" t="s">
        <v>40</v>
      </c>
      <c r="F119" s="1" t="s">
        <v>276</v>
      </c>
      <c r="G119" t="s">
        <v>277</v>
      </c>
      <c r="H119">
        <v>3000</v>
      </c>
      <c r="I119" s="2">
        <v>43831</v>
      </c>
      <c r="J119" s="2">
        <v>44196</v>
      </c>
      <c r="K119">
        <v>3000</v>
      </c>
    </row>
    <row r="120" spans="1:11" ht="105" x14ac:dyDescent="0.25">
      <c r="A120" t="str">
        <f>"Z332A6996F"</f>
        <v>Z332A6996F</v>
      </c>
      <c r="B120" t="str">
        <f t="shared" si="1"/>
        <v>06363391001</v>
      </c>
      <c r="C120" t="s">
        <v>16</v>
      </c>
      <c r="D120" t="s">
        <v>278</v>
      </c>
      <c r="E120" t="s">
        <v>53</v>
      </c>
      <c r="F120" s="1" t="s">
        <v>279</v>
      </c>
      <c r="G120" t="s">
        <v>159</v>
      </c>
      <c r="H120">
        <v>15884</v>
      </c>
      <c r="I120" s="2">
        <v>43789</v>
      </c>
      <c r="J120" s="2">
        <v>44885</v>
      </c>
      <c r="K120">
        <v>15884</v>
      </c>
    </row>
    <row r="121" spans="1:11" ht="165" x14ac:dyDescent="0.25">
      <c r="A121" t="str">
        <f>"Z262ACD709"</f>
        <v>Z262ACD709</v>
      </c>
      <c r="B121" t="str">
        <f t="shared" si="1"/>
        <v>06363391001</v>
      </c>
      <c r="C121" t="s">
        <v>16</v>
      </c>
      <c r="D121" t="s">
        <v>280</v>
      </c>
      <c r="E121" t="s">
        <v>40</v>
      </c>
      <c r="F121" s="1" t="s">
        <v>281</v>
      </c>
      <c r="G121" t="s">
        <v>282</v>
      </c>
      <c r="H121">
        <v>748.8</v>
      </c>
      <c r="I121" s="2">
        <v>43831</v>
      </c>
      <c r="J121" s="2">
        <v>44196</v>
      </c>
      <c r="K121">
        <v>720</v>
      </c>
    </row>
    <row r="122" spans="1:11" ht="180" x14ac:dyDescent="0.25">
      <c r="A122" t="str">
        <f>"Z4A2ABAED5"</f>
        <v>Z4A2ABAED5</v>
      </c>
      <c r="B122" t="str">
        <f t="shared" si="1"/>
        <v>06363391001</v>
      </c>
      <c r="C122" t="s">
        <v>16</v>
      </c>
      <c r="D122" t="s">
        <v>283</v>
      </c>
      <c r="E122" t="s">
        <v>40</v>
      </c>
      <c r="F122" s="1" t="s">
        <v>284</v>
      </c>
      <c r="G122" t="s">
        <v>285</v>
      </c>
      <c r="H122">
        <v>2200</v>
      </c>
      <c r="I122" s="2">
        <v>43797</v>
      </c>
      <c r="J122" s="2">
        <v>43979</v>
      </c>
      <c r="K122">
        <v>2200</v>
      </c>
    </row>
    <row r="123" spans="1:11" ht="135" x14ac:dyDescent="0.25">
      <c r="A123" t="str">
        <f>"Z822AA1853"</f>
        <v>Z822AA1853</v>
      </c>
      <c r="B123" t="str">
        <f t="shared" si="1"/>
        <v>06363391001</v>
      </c>
      <c r="C123" t="s">
        <v>16</v>
      </c>
      <c r="D123" t="s">
        <v>286</v>
      </c>
      <c r="E123" t="s">
        <v>40</v>
      </c>
      <c r="F123" s="1" t="s">
        <v>287</v>
      </c>
      <c r="G123" t="s">
        <v>288</v>
      </c>
      <c r="H123">
        <v>1785</v>
      </c>
      <c r="I123" s="2">
        <v>43788</v>
      </c>
      <c r="J123" s="2">
        <v>43818</v>
      </c>
      <c r="K123">
        <v>1785</v>
      </c>
    </row>
    <row r="124" spans="1:11" ht="90" x14ac:dyDescent="0.25">
      <c r="A124" t="str">
        <f>"Z902B011B5"</f>
        <v>Z902B011B5</v>
      </c>
      <c r="B124" t="str">
        <f t="shared" si="1"/>
        <v>06363391001</v>
      </c>
      <c r="C124" t="s">
        <v>16</v>
      </c>
      <c r="D124" t="s">
        <v>280</v>
      </c>
      <c r="E124" t="s">
        <v>40</v>
      </c>
      <c r="F124" s="1" t="s">
        <v>289</v>
      </c>
      <c r="G124" t="s">
        <v>290</v>
      </c>
      <c r="H124">
        <v>180</v>
      </c>
      <c r="I124" s="2">
        <v>43831</v>
      </c>
      <c r="J124" s="2">
        <v>44196</v>
      </c>
      <c r="K124">
        <v>180</v>
      </c>
    </row>
    <row r="125" spans="1:11" ht="105" x14ac:dyDescent="0.25">
      <c r="A125" t="str">
        <f>"ZAA2B012D5"</f>
        <v>ZAA2B012D5</v>
      </c>
      <c r="B125" t="str">
        <f t="shared" si="1"/>
        <v>06363391001</v>
      </c>
      <c r="C125" t="s">
        <v>16</v>
      </c>
      <c r="D125" t="s">
        <v>280</v>
      </c>
      <c r="E125" t="s">
        <v>40</v>
      </c>
      <c r="F125" s="1" t="s">
        <v>291</v>
      </c>
      <c r="G125" t="s">
        <v>292</v>
      </c>
      <c r="H125">
        <v>6600</v>
      </c>
      <c r="I125" s="2">
        <v>43831</v>
      </c>
      <c r="J125" s="2">
        <v>44196</v>
      </c>
      <c r="K125">
        <v>6600</v>
      </c>
    </row>
    <row r="126" spans="1:11" ht="90" x14ac:dyDescent="0.25">
      <c r="A126" t="str">
        <f>"Z362B013EC"</f>
        <v>Z362B013EC</v>
      </c>
      <c r="B126" t="str">
        <f t="shared" si="1"/>
        <v>06363391001</v>
      </c>
      <c r="C126" t="s">
        <v>16</v>
      </c>
      <c r="D126" t="s">
        <v>280</v>
      </c>
      <c r="E126" t="s">
        <v>40</v>
      </c>
      <c r="F126" s="1" t="s">
        <v>293</v>
      </c>
      <c r="G126" t="s">
        <v>294</v>
      </c>
      <c r="H126">
        <v>3986.5</v>
      </c>
      <c r="I126" s="2">
        <v>43841</v>
      </c>
      <c r="J126" s="2">
        <v>44206</v>
      </c>
      <c r="K126">
        <v>3986.5</v>
      </c>
    </row>
    <row r="127" spans="1:11" ht="165" x14ac:dyDescent="0.25">
      <c r="A127" t="str">
        <f>"0000000000"</f>
        <v>0000000000</v>
      </c>
      <c r="B127" t="str">
        <f t="shared" si="1"/>
        <v>06363391001</v>
      </c>
      <c r="C127" t="s">
        <v>16</v>
      </c>
      <c r="D127" t="s">
        <v>295</v>
      </c>
      <c r="E127" t="s">
        <v>40</v>
      </c>
      <c r="F127" s="1" t="s">
        <v>296</v>
      </c>
      <c r="G127" t="s">
        <v>297</v>
      </c>
      <c r="H127">
        <v>10000</v>
      </c>
      <c r="I127" s="2">
        <v>43831</v>
      </c>
      <c r="J127" s="2">
        <v>44196</v>
      </c>
      <c r="K127">
        <v>10000</v>
      </c>
    </row>
    <row r="128" spans="1:11" ht="90" x14ac:dyDescent="0.25">
      <c r="A128" t="str">
        <f>"7798788373"</f>
        <v>7798788373</v>
      </c>
      <c r="B128" t="str">
        <f t="shared" si="1"/>
        <v>06363391001</v>
      </c>
      <c r="C128" t="s">
        <v>16</v>
      </c>
      <c r="D128" t="s">
        <v>298</v>
      </c>
      <c r="E128" t="s">
        <v>18</v>
      </c>
      <c r="F128" s="1" t="s">
        <v>299</v>
      </c>
      <c r="G128" t="s">
        <v>300</v>
      </c>
      <c r="H128">
        <v>27240</v>
      </c>
      <c r="I128" s="2">
        <v>44843</v>
      </c>
      <c r="J128" s="2">
        <v>44842</v>
      </c>
      <c r="K128">
        <v>10699.49</v>
      </c>
    </row>
    <row r="129" spans="1:11" ht="75" x14ac:dyDescent="0.25">
      <c r="A129" t="str">
        <f>"Z112AD3467"</f>
        <v>Z112AD3467</v>
      </c>
      <c r="B129" t="str">
        <f t="shared" si="1"/>
        <v>06363391001</v>
      </c>
      <c r="C129" t="s">
        <v>16</v>
      </c>
      <c r="D129" t="s">
        <v>301</v>
      </c>
      <c r="E129" t="s">
        <v>40</v>
      </c>
      <c r="F129" s="1" t="s">
        <v>302</v>
      </c>
      <c r="G129" t="s">
        <v>303</v>
      </c>
      <c r="H129">
        <v>39970.239999999998</v>
      </c>
      <c r="I129" s="2">
        <v>43803</v>
      </c>
      <c r="J129" s="2">
        <v>43861</v>
      </c>
      <c r="K129">
        <v>39970.239999999998</v>
      </c>
    </row>
    <row r="130" spans="1:11" ht="210" x14ac:dyDescent="0.25">
      <c r="A130" t="str">
        <f>"ZF92B25603"</f>
        <v>ZF92B25603</v>
      </c>
      <c r="B130" t="str">
        <f t="shared" si="1"/>
        <v>06363391001</v>
      </c>
      <c r="C130" t="s">
        <v>16</v>
      </c>
      <c r="D130" t="s">
        <v>304</v>
      </c>
      <c r="E130" t="s">
        <v>40</v>
      </c>
      <c r="F130" s="1" t="s">
        <v>123</v>
      </c>
      <c r="G130" t="s">
        <v>124</v>
      </c>
      <c r="H130">
        <v>245.7</v>
      </c>
      <c r="I130" s="2">
        <v>43831</v>
      </c>
      <c r="J130" s="2">
        <v>44196</v>
      </c>
      <c r="K130">
        <v>184.29</v>
      </c>
    </row>
    <row r="131" spans="1:11" ht="135" x14ac:dyDescent="0.25">
      <c r="A131" t="str">
        <f>"0000000000"</f>
        <v>0000000000</v>
      </c>
      <c r="B131" t="str">
        <f t="shared" ref="B131:B194" si="2">"06363391001"</f>
        <v>06363391001</v>
      </c>
      <c r="C131" t="s">
        <v>16</v>
      </c>
      <c r="D131" t="s">
        <v>305</v>
      </c>
      <c r="E131" t="s">
        <v>40</v>
      </c>
      <c r="F131" s="1" t="s">
        <v>306</v>
      </c>
      <c r="G131" t="s">
        <v>307</v>
      </c>
      <c r="H131">
        <v>420</v>
      </c>
      <c r="I131" s="2">
        <v>43831</v>
      </c>
      <c r="J131" s="2">
        <v>44196</v>
      </c>
      <c r="K131">
        <v>420</v>
      </c>
    </row>
    <row r="132" spans="1:11" ht="165" x14ac:dyDescent="0.25">
      <c r="A132" t="str">
        <f>"0000000000"</f>
        <v>0000000000</v>
      </c>
      <c r="B132" t="str">
        <f t="shared" si="2"/>
        <v>06363391001</v>
      </c>
      <c r="C132" t="s">
        <v>16</v>
      </c>
      <c r="D132" t="s">
        <v>308</v>
      </c>
      <c r="E132" t="s">
        <v>40</v>
      </c>
      <c r="F132" s="1" t="s">
        <v>309</v>
      </c>
      <c r="G132" t="s">
        <v>310</v>
      </c>
      <c r="H132">
        <v>750</v>
      </c>
      <c r="I132" s="2">
        <v>43831</v>
      </c>
      <c r="J132" s="2">
        <v>44196</v>
      </c>
      <c r="K132">
        <v>750</v>
      </c>
    </row>
    <row r="133" spans="1:11" ht="105" x14ac:dyDescent="0.25">
      <c r="A133" t="str">
        <f>"ZB92B2D7D5"</f>
        <v>ZB92B2D7D5</v>
      </c>
      <c r="B133" t="str">
        <f t="shared" si="2"/>
        <v>06363391001</v>
      </c>
      <c r="C133" t="s">
        <v>16</v>
      </c>
      <c r="D133" t="s">
        <v>311</v>
      </c>
      <c r="E133" t="s">
        <v>40</v>
      </c>
      <c r="F133" s="1" t="s">
        <v>312</v>
      </c>
      <c r="G133" t="s">
        <v>313</v>
      </c>
      <c r="H133">
        <v>8750</v>
      </c>
      <c r="I133" s="2">
        <v>43812</v>
      </c>
      <c r="J133" s="2">
        <v>43902</v>
      </c>
      <c r="K133">
        <v>8750</v>
      </c>
    </row>
    <row r="134" spans="1:11" ht="375" x14ac:dyDescent="0.25">
      <c r="A134" t="str">
        <f>"ZD42A6AB56"</f>
        <v>ZD42A6AB56</v>
      </c>
      <c r="B134" t="str">
        <f t="shared" si="2"/>
        <v>06363391001</v>
      </c>
      <c r="C134" t="s">
        <v>16</v>
      </c>
      <c r="D134" t="s">
        <v>314</v>
      </c>
      <c r="E134" t="s">
        <v>53</v>
      </c>
      <c r="F134" s="1" t="s">
        <v>315</v>
      </c>
      <c r="G134" t="s">
        <v>316</v>
      </c>
      <c r="H134">
        <v>10082.43</v>
      </c>
      <c r="I134" s="2">
        <v>43818</v>
      </c>
      <c r="J134" s="2">
        <v>43844</v>
      </c>
      <c r="K134">
        <v>10082.43</v>
      </c>
    </row>
    <row r="135" spans="1:11" ht="165" x14ac:dyDescent="0.25">
      <c r="A135" t="str">
        <f>"ZC2295713D"</f>
        <v>ZC2295713D</v>
      </c>
      <c r="B135" t="str">
        <f t="shared" si="2"/>
        <v>06363391001</v>
      </c>
      <c r="C135" t="s">
        <v>16</v>
      </c>
      <c r="D135" t="s">
        <v>317</v>
      </c>
      <c r="E135" t="s">
        <v>132</v>
      </c>
      <c r="F135" s="1" t="s">
        <v>318</v>
      </c>
      <c r="G135" t="s">
        <v>319</v>
      </c>
      <c r="H135">
        <v>18000</v>
      </c>
      <c r="I135" s="2">
        <v>43682</v>
      </c>
      <c r="J135" s="2">
        <v>44412</v>
      </c>
      <c r="K135">
        <v>2672.16</v>
      </c>
    </row>
    <row r="136" spans="1:11" ht="105" x14ac:dyDescent="0.25">
      <c r="A136" t="str">
        <f>"ZA228DD63A"</f>
        <v>ZA228DD63A</v>
      </c>
      <c r="B136" t="str">
        <f t="shared" si="2"/>
        <v>06363391001</v>
      </c>
      <c r="C136" t="s">
        <v>16</v>
      </c>
      <c r="D136" t="s">
        <v>320</v>
      </c>
      <c r="E136" t="s">
        <v>132</v>
      </c>
      <c r="F136" s="1" t="s">
        <v>321</v>
      </c>
      <c r="G136" t="s">
        <v>322</v>
      </c>
      <c r="H136">
        <v>0</v>
      </c>
      <c r="I136" s="2">
        <v>43669</v>
      </c>
      <c r="J136" s="2">
        <v>44399</v>
      </c>
      <c r="K136">
        <v>1006.8</v>
      </c>
    </row>
    <row r="137" spans="1:11" ht="105" x14ac:dyDescent="0.25">
      <c r="A137" t="str">
        <f>"Z882A984E9"</f>
        <v>Z882A984E9</v>
      </c>
      <c r="B137" t="str">
        <f t="shared" si="2"/>
        <v>06363391001</v>
      </c>
      <c r="C137" t="s">
        <v>16</v>
      </c>
      <c r="D137" t="s">
        <v>323</v>
      </c>
      <c r="E137" t="s">
        <v>40</v>
      </c>
      <c r="F137" s="1" t="s">
        <v>324</v>
      </c>
      <c r="G137" t="s">
        <v>325</v>
      </c>
      <c r="H137">
        <v>6495.31</v>
      </c>
      <c r="I137" s="2">
        <v>43804</v>
      </c>
      <c r="J137" s="2">
        <v>43830</v>
      </c>
      <c r="K137">
        <v>6495.31</v>
      </c>
    </row>
    <row r="138" spans="1:11" ht="135" x14ac:dyDescent="0.25">
      <c r="A138" t="str">
        <f>"ZA029570E6"</f>
        <v>ZA029570E6</v>
      </c>
      <c r="B138" t="str">
        <f t="shared" si="2"/>
        <v>06363391001</v>
      </c>
      <c r="C138" t="s">
        <v>16</v>
      </c>
      <c r="D138" t="s">
        <v>326</v>
      </c>
      <c r="E138" t="s">
        <v>132</v>
      </c>
      <c r="F138" s="1" t="s">
        <v>327</v>
      </c>
      <c r="G138" t="s">
        <v>328</v>
      </c>
      <c r="H138">
        <v>0</v>
      </c>
      <c r="I138" s="2">
        <v>43707</v>
      </c>
      <c r="J138" s="2">
        <v>44438</v>
      </c>
      <c r="K138">
        <v>5015.05</v>
      </c>
    </row>
    <row r="139" spans="1:11" ht="90" x14ac:dyDescent="0.25">
      <c r="A139" t="str">
        <f>"ZEA28319C5"</f>
        <v>ZEA28319C5</v>
      </c>
      <c r="B139" t="str">
        <f t="shared" si="2"/>
        <v>06363391001</v>
      </c>
      <c r="C139" t="s">
        <v>16</v>
      </c>
      <c r="D139" t="s">
        <v>329</v>
      </c>
      <c r="E139" t="s">
        <v>132</v>
      </c>
      <c r="F139" s="1" t="s">
        <v>330</v>
      </c>
      <c r="G139" t="s">
        <v>331</v>
      </c>
      <c r="H139">
        <v>30000</v>
      </c>
      <c r="I139" s="2">
        <v>43641</v>
      </c>
      <c r="J139" s="2">
        <v>44371</v>
      </c>
      <c r="K139">
        <v>23729.14</v>
      </c>
    </row>
    <row r="140" spans="1:11" ht="105" x14ac:dyDescent="0.25">
      <c r="A140" t="str">
        <f>"ZDE2A681E9"</f>
        <v>ZDE2A681E9</v>
      </c>
      <c r="B140" t="str">
        <f t="shared" si="2"/>
        <v>06363391001</v>
      </c>
      <c r="C140" t="s">
        <v>16</v>
      </c>
      <c r="D140" t="s">
        <v>332</v>
      </c>
      <c r="E140" t="s">
        <v>132</v>
      </c>
      <c r="F140" s="1" t="s">
        <v>333</v>
      </c>
      <c r="G140" t="s">
        <v>334</v>
      </c>
      <c r="H140">
        <v>0</v>
      </c>
      <c r="I140" s="2">
        <v>43809</v>
      </c>
      <c r="J140" s="2">
        <v>44540</v>
      </c>
      <c r="K140">
        <v>6771.6</v>
      </c>
    </row>
    <row r="141" spans="1:11" ht="270" x14ac:dyDescent="0.25">
      <c r="A141" t="str">
        <f>"Z6F29BFF00"</f>
        <v>Z6F29BFF00</v>
      </c>
      <c r="B141" t="str">
        <f t="shared" si="2"/>
        <v>06363391001</v>
      </c>
      <c r="C141" t="s">
        <v>16</v>
      </c>
      <c r="D141" t="s">
        <v>335</v>
      </c>
      <c r="E141" t="s">
        <v>132</v>
      </c>
      <c r="F141" s="1" t="s">
        <v>336</v>
      </c>
      <c r="G141" t="s">
        <v>337</v>
      </c>
      <c r="H141">
        <v>2000</v>
      </c>
      <c r="I141" s="2">
        <v>43733</v>
      </c>
      <c r="J141" s="2">
        <v>44463</v>
      </c>
      <c r="K141">
        <v>607.27</v>
      </c>
    </row>
    <row r="142" spans="1:11" ht="120" x14ac:dyDescent="0.25">
      <c r="A142" t="str">
        <f>"Z282A369A9"</f>
        <v>Z282A369A9</v>
      </c>
      <c r="B142" t="str">
        <f t="shared" si="2"/>
        <v>06363391001</v>
      </c>
      <c r="C142" t="s">
        <v>16</v>
      </c>
      <c r="D142" t="s">
        <v>338</v>
      </c>
      <c r="E142" t="s">
        <v>132</v>
      </c>
      <c r="F142" s="1" t="s">
        <v>339</v>
      </c>
      <c r="G142" t="s">
        <v>340</v>
      </c>
      <c r="H142">
        <v>0</v>
      </c>
      <c r="I142" s="2">
        <v>43784</v>
      </c>
      <c r="J142" s="2">
        <v>44514</v>
      </c>
      <c r="K142">
        <v>4286.3500000000004</v>
      </c>
    </row>
    <row r="143" spans="1:11" ht="135" x14ac:dyDescent="0.25">
      <c r="A143" t="str">
        <f>"Z9729E8716"</f>
        <v>Z9729E8716</v>
      </c>
      <c r="B143" t="str">
        <f t="shared" si="2"/>
        <v>06363391001</v>
      </c>
      <c r="C143" t="s">
        <v>16</v>
      </c>
      <c r="D143" t="s">
        <v>341</v>
      </c>
      <c r="E143" t="s">
        <v>132</v>
      </c>
      <c r="F143" s="1" t="s">
        <v>342</v>
      </c>
      <c r="G143" t="s">
        <v>343</v>
      </c>
      <c r="H143">
        <v>11000</v>
      </c>
      <c r="I143" s="2">
        <v>43745</v>
      </c>
      <c r="J143" s="2">
        <v>44475</v>
      </c>
      <c r="K143">
        <v>5519.93</v>
      </c>
    </row>
    <row r="144" spans="1:11" ht="135" x14ac:dyDescent="0.25">
      <c r="A144" t="str">
        <f>"8079922291"</f>
        <v>8079922291</v>
      </c>
      <c r="B144" t="str">
        <f t="shared" si="2"/>
        <v>06363391001</v>
      </c>
      <c r="C144" t="s">
        <v>16</v>
      </c>
      <c r="D144" t="s">
        <v>48</v>
      </c>
      <c r="E144" t="s">
        <v>18</v>
      </c>
      <c r="F144" s="1" t="s">
        <v>29</v>
      </c>
      <c r="G144" t="s">
        <v>30</v>
      </c>
      <c r="H144">
        <v>5786.64</v>
      </c>
      <c r="I144" s="2">
        <v>43854</v>
      </c>
      <c r="J144" s="2">
        <v>45314</v>
      </c>
      <c r="K144">
        <v>1446.66</v>
      </c>
    </row>
    <row r="145" spans="1:11" ht="105" x14ac:dyDescent="0.25">
      <c r="A145" t="str">
        <f>"Z942B53B7A"</f>
        <v>Z942B53B7A</v>
      </c>
      <c r="B145" t="str">
        <f t="shared" si="2"/>
        <v>06363391001</v>
      </c>
      <c r="C145" t="s">
        <v>16</v>
      </c>
      <c r="D145" t="s">
        <v>344</v>
      </c>
      <c r="E145" t="s">
        <v>40</v>
      </c>
      <c r="F145" s="1" t="s">
        <v>345</v>
      </c>
      <c r="G145" t="s">
        <v>346</v>
      </c>
      <c r="H145">
        <v>260</v>
      </c>
      <c r="I145" s="2">
        <v>43861</v>
      </c>
      <c r="J145" s="2">
        <v>43861</v>
      </c>
      <c r="K145">
        <v>260</v>
      </c>
    </row>
    <row r="146" spans="1:11" ht="345" x14ac:dyDescent="0.25">
      <c r="A146" t="str">
        <f>"Z4A2B33D4C"</f>
        <v>Z4A2B33D4C</v>
      </c>
      <c r="B146" t="str">
        <f t="shared" si="2"/>
        <v>06363391001</v>
      </c>
      <c r="C146" t="s">
        <v>16</v>
      </c>
      <c r="D146" t="s">
        <v>347</v>
      </c>
      <c r="E146" t="s">
        <v>40</v>
      </c>
      <c r="F146" s="1" t="s">
        <v>348</v>
      </c>
      <c r="G146" t="s">
        <v>349</v>
      </c>
      <c r="H146">
        <v>2750</v>
      </c>
      <c r="I146" s="2">
        <v>43999</v>
      </c>
      <c r="J146" s="2">
        <v>43999</v>
      </c>
      <c r="K146">
        <v>2750</v>
      </c>
    </row>
    <row r="147" spans="1:11" ht="150" x14ac:dyDescent="0.25">
      <c r="A147" t="str">
        <f>"Z192B828BD"</f>
        <v>Z192B828BD</v>
      </c>
      <c r="B147" t="str">
        <f t="shared" si="2"/>
        <v>06363391001</v>
      </c>
      <c r="C147" t="s">
        <v>16</v>
      </c>
      <c r="D147" t="s">
        <v>350</v>
      </c>
      <c r="E147" t="s">
        <v>40</v>
      </c>
      <c r="F147" s="1" t="s">
        <v>351</v>
      </c>
      <c r="G147" t="s">
        <v>352</v>
      </c>
      <c r="H147">
        <v>3569.98</v>
      </c>
      <c r="I147" s="2">
        <v>43845</v>
      </c>
      <c r="J147" s="2">
        <v>43845</v>
      </c>
      <c r="K147">
        <v>3569.98</v>
      </c>
    </row>
    <row r="148" spans="1:11" ht="120" x14ac:dyDescent="0.25">
      <c r="A148" t="str">
        <f>"Z0D2AA7D27"</f>
        <v>Z0D2AA7D27</v>
      </c>
      <c r="B148" t="str">
        <f t="shared" si="2"/>
        <v>06363391001</v>
      </c>
      <c r="C148" t="s">
        <v>16</v>
      </c>
      <c r="D148" t="s">
        <v>353</v>
      </c>
      <c r="E148" t="s">
        <v>40</v>
      </c>
      <c r="F148" s="1" t="s">
        <v>354</v>
      </c>
      <c r="G148" t="s">
        <v>355</v>
      </c>
      <c r="H148">
        <v>3700</v>
      </c>
      <c r="I148" s="2">
        <v>43784</v>
      </c>
      <c r="J148" s="2">
        <v>43850</v>
      </c>
      <c r="K148">
        <v>3700</v>
      </c>
    </row>
    <row r="149" spans="1:11" ht="105" x14ac:dyDescent="0.25">
      <c r="A149" t="str">
        <f>"Z032A9CEE0"</f>
        <v>Z032A9CEE0</v>
      </c>
      <c r="B149" t="str">
        <f t="shared" si="2"/>
        <v>06363391001</v>
      </c>
      <c r="C149" t="s">
        <v>16</v>
      </c>
      <c r="D149" t="s">
        <v>356</v>
      </c>
      <c r="E149" t="s">
        <v>40</v>
      </c>
      <c r="F149" s="1" t="s">
        <v>357</v>
      </c>
      <c r="G149" t="s">
        <v>358</v>
      </c>
      <c r="H149">
        <v>625</v>
      </c>
      <c r="I149" s="2">
        <v>43804</v>
      </c>
      <c r="K149">
        <v>625</v>
      </c>
    </row>
    <row r="150" spans="1:11" ht="105" x14ac:dyDescent="0.25">
      <c r="A150" t="str">
        <f>"7632644116"</f>
        <v>7632644116</v>
      </c>
      <c r="B150" t="str">
        <f t="shared" si="2"/>
        <v>06363391001</v>
      </c>
      <c r="C150" t="s">
        <v>16</v>
      </c>
      <c r="D150" t="s">
        <v>359</v>
      </c>
      <c r="E150" t="s">
        <v>53</v>
      </c>
      <c r="F150" s="1" t="s">
        <v>101</v>
      </c>
      <c r="G150" t="s">
        <v>102</v>
      </c>
      <c r="H150">
        <v>44142.96</v>
      </c>
      <c r="I150" s="2">
        <v>43217</v>
      </c>
      <c r="J150" s="2">
        <v>43947</v>
      </c>
      <c r="K150">
        <v>38154.370000000003</v>
      </c>
    </row>
    <row r="151" spans="1:11" ht="105" x14ac:dyDescent="0.25">
      <c r="A151" t="str">
        <f>"710466395F"</f>
        <v>710466395F</v>
      </c>
      <c r="B151" t="str">
        <f t="shared" si="2"/>
        <v>06363391001</v>
      </c>
      <c r="C151" t="s">
        <v>16</v>
      </c>
      <c r="D151" t="s">
        <v>360</v>
      </c>
      <c r="E151" t="s">
        <v>53</v>
      </c>
      <c r="F151" s="1" t="s">
        <v>22</v>
      </c>
      <c r="G151" t="s">
        <v>23</v>
      </c>
      <c r="H151">
        <v>200000</v>
      </c>
      <c r="I151" s="2">
        <v>42903</v>
      </c>
      <c r="J151" s="2">
        <v>43815</v>
      </c>
      <c r="K151">
        <v>149113.1</v>
      </c>
    </row>
    <row r="152" spans="1:11" ht="135" x14ac:dyDescent="0.25">
      <c r="A152" t="str">
        <f>"Z1E26B6592"</f>
        <v>Z1E26B6592</v>
      </c>
      <c r="B152" t="str">
        <f t="shared" si="2"/>
        <v>06363391001</v>
      </c>
      <c r="C152" t="s">
        <v>16</v>
      </c>
      <c r="D152" t="s">
        <v>361</v>
      </c>
      <c r="E152" t="s">
        <v>132</v>
      </c>
      <c r="F152" s="1" t="s">
        <v>362</v>
      </c>
      <c r="G152" t="s">
        <v>363</v>
      </c>
      <c r="H152">
        <v>0</v>
      </c>
      <c r="I152" s="2">
        <v>43497</v>
      </c>
      <c r="J152" s="2">
        <v>44227</v>
      </c>
      <c r="K152">
        <v>38709.43</v>
      </c>
    </row>
    <row r="153" spans="1:11" ht="135" x14ac:dyDescent="0.25">
      <c r="A153" t="str">
        <f>"ZB826B65E6"</f>
        <v>ZB826B65E6</v>
      </c>
      <c r="B153" t="str">
        <f t="shared" si="2"/>
        <v>06363391001</v>
      </c>
      <c r="C153" t="s">
        <v>16</v>
      </c>
      <c r="D153" t="s">
        <v>364</v>
      </c>
      <c r="E153" t="s">
        <v>132</v>
      </c>
      <c r="F153" s="1" t="s">
        <v>365</v>
      </c>
      <c r="G153" t="s">
        <v>366</v>
      </c>
      <c r="H153">
        <v>0</v>
      </c>
      <c r="I153" s="2">
        <v>43497</v>
      </c>
      <c r="J153" s="2">
        <v>44227</v>
      </c>
      <c r="K153">
        <v>1585.41</v>
      </c>
    </row>
    <row r="154" spans="1:11" ht="135" x14ac:dyDescent="0.25">
      <c r="A154" t="str">
        <f>"Z7F2795EF9"</f>
        <v>Z7F2795EF9</v>
      </c>
      <c r="B154" t="str">
        <f t="shared" si="2"/>
        <v>06363391001</v>
      </c>
      <c r="C154" t="s">
        <v>16</v>
      </c>
      <c r="D154" t="s">
        <v>135</v>
      </c>
      <c r="E154" t="s">
        <v>132</v>
      </c>
      <c r="F154" s="1" t="s">
        <v>367</v>
      </c>
      <c r="G154" t="s">
        <v>368</v>
      </c>
      <c r="H154">
        <v>0</v>
      </c>
      <c r="I154" s="2">
        <v>43545</v>
      </c>
      <c r="J154" s="2">
        <v>44276</v>
      </c>
      <c r="K154">
        <v>74303.41</v>
      </c>
    </row>
    <row r="155" spans="1:11" ht="135" x14ac:dyDescent="0.25">
      <c r="A155" t="str">
        <f>"ZEB2795EAB"</f>
        <v>ZEB2795EAB</v>
      </c>
      <c r="B155" t="str">
        <f t="shared" si="2"/>
        <v>06363391001</v>
      </c>
      <c r="C155" t="s">
        <v>16</v>
      </c>
      <c r="D155" t="s">
        <v>369</v>
      </c>
      <c r="E155" t="s">
        <v>132</v>
      </c>
      <c r="F155" s="1" t="s">
        <v>370</v>
      </c>
      <c r="G155" t="s">
        <v>371</v>
      </c>
      <c r="H155">
        <v>0</v>
      </c>
      <c r="I155" s="2">
        <v>43549</v>
      </c>
      <c r="J155" s="2">
        <v>44279</v>
      </c>
      <c r="K155">
        <v>91595.99</v>
      </c>
    </row>
    <row r="156" spans="1:11" ht="135" x14ac:dyDescent="0.25">
      <c r="A156" t="str">
        <f>"ZD127E99D8"</f>
        <v>ZD127E99D8</v>
      </c>
      <c r="B156" t="str">
        <f t="shared" si="2"/>
        <v>06363391001</v>
      </c>
      <c r="C156" t="s">
        <v>16</v>
      </c>
      <c r="D156" t="s">
        <v>372</v>
      </c>
      <c r="E156" t="s">
        <v>132</v>
      </c>
      <c r="F156" s="1" t="s">
        <v>373</v>
      </c>
      <c r="G156" t="s">
        <v>374</v>
      </c>
      <c r="H156">
        <v>0</v>
      </c>
      <c r="I156" s="2">
        <v>43570</v>
      </c>
      <c r="J156" s="2">
        <v>44300</v>
      </c>
      <c r="K156">
        <v>63023.18</v>
      </c>
    </row>
    <row r="157" spans="1:11" ht="105" x14ac:dyDescent="0.25">
      <c r="A157" t="str">
        <f>"Z2D2862A30"</f>
        <v>Z2D2862A30</v>
      </c>
      <c r="B157" t="str">
        <f t="shared" si="2"/>
        <v>06363391001</v>
      </c>
      <c r="C157" t="s">
        <v>16</v>
      </c>
      <c r="D157" t="s">
        <v>135</v>
      </c>
      <c r="E157" t="s">
        <v>132</v>
      </c>
      <c r="F157" s="1" t="s">
        <v>375</v>
      </c>
      <c r="G157" t="s">
        <v>376</v>
      </c>
      <c r="H157">
        <v>0</v>
      </c>
      <c r="I157" s="2">
        <v>43608</v>
      </c>
      <c r="J157" s="2">
        <v>44338</v>
      </c>
      <c r="K157">
        <v>4918.71</v>
      </c>
    </row>
    <row r="158" spans="1:11" ht="135" x14ac:dyDescent="0.25">
      <c r="A158" t="str">
        <f>"Z1528DD676"</f>
        <v>Z1528DD676</v>
      </c>
      <c r="B158" t="str">
        <f t="shared" si="2"/>
        <v>06363391001</v>
      </c>
      <c r="C158" t="s">
        <v>16</v>
      </c>
      <c r="D158" t="s">
        <v>377</v>
      </c>
      <c r="E158" t="s">
        <v>132</v>
      </c>
      <c r="F158" s="1" t="s">
        <v>378</v>
      </c>
      <c r="G158" t="s">
        <v>379</v>
      </c>
      <c r="H158">
        <v>0</v>
      </c>
      <c r="I158" s="2">
        <v>43650</v>
      </c>
      <c r="J158" s="2">
        <v>44380</v>
      </c>
      <c r="K158">
        <v>17203.37</v>
      </c>
    </row>
    <row r="159" spans="1:11" ht="105" x14ac:dyDescent="0.25">
      <c r="A159" t="str">
        <f>"Z092957066"</f>
        <v>Z092957066</v>
      </c>
      <c r="B159" t="str">
        <f t="shared" si="2"/>
        <v>06363391001</v>
      </c>
      <c r="C159" t="s">
        <v>16</v>
      </c>
      <c r="D159" t="s">
        <v>380</v>
      </c>
      <c r="E159" t="s">
        <v>132</v>
      </c>
      <c r="F159" s="1" t="s">
        <v>381</v>
      </c>
      <c r="G159" t="s">
        <v>382</v>
      </c>
      <c r="H159">
        <v>0</v>
      </c>
      <c r="I159" s="2">
        <v>43678</v>
      </c>
      <c r="J159" s="2">
        <v>43830</v>
      </c>
      <c r="K159">
        <v>94387.58</v>
      </c>
    </row>
    <row r="160" spans="1:11" ht="105" x14ac:dyDescent="0.25">
      <c r="A160" t="str">
        <f>"Z0329570BE"</f>
        <v>Z0329570BE</v>
      </c>
      <c r="B160" t="str">
        <f t="shared" si="2"/>
        <v>06363391001</v>
      </c>
      <c r="C160" t="s">
        <v>16</v>
      </c>
      <c r="D160" t="s">
        <v>135</v>
      </c>
      <c r="E160" t="s">
        <v>132</v>
      </c>
      <c r="F160" s="1" t="s">
        <v>383</v>
      </c>
      <c r="G160" t="s">
        <v>384</v>
      </c>
      <c r="H160">
        <v>0</v>
      </c>
      <c r="I160" s="2">
        <v>43724</v>
      </c>
      <c r="J160" s="2">
        <v>43830</v>
      </c>
      <c r="K160">
        <v>67754.59</v>
      </c>
    </row>
    <row r="161" spans="1:11" ht="105" x14ac:dyDescent="0.25">
      <c r="A161" t="str">
        <f>"ZDF295703B"</f>
        <v>ZDF295703B</v>
      </c>
      <c r="B161" t="str">
        <f t="shared" si="2"/>
        <v>06363391001</v>
      </c>
      <c r="C161" t="s">
        <v>16</v>
      </c>
      <c r="D161" t="s">
        <v>135</v>
      </c>
      <c r="E161" t="s">
        <v>132</v>
      </c>
      <c r="F161" s="1" t="s">
        <v>385</v>
      </c>
      <c r="G161" t="s">
        <v>386</v>
      </c>
      <c r="H161">
        <v>0</v>
      </c>
      <c r="I161" s="2">
        <v>43727</v>
      </c>
      <c r="J161" s="2">
        <v>43830</v>
      </c>
      <c r="K161">
        <v>210876.13</v>
      </c>
    </row>
    <row r="162" spans="1:11" ht="240" x14ac:dyDescent="0.25">
      <c r="A162" t="str">
        <f>"Z4C27570FE"</f>
        <v>Z4C27570FE</v>
      </c>
      <c r="B162" t="str">
        <f t="shared" si="2"/>
        <v>06363391001</v>
      </c>
      <c r="C162" t="s">
        <v>16</v>
      </c>
      <c r="D162" t="s">
        <v>387</v>
      </c>
      <c r="E162" t="s">
        <v>40</v>
      </c>
      <c r="F162" s="1" t="s">
        <v>388</v>
      </c>
      <c r="G162" t="s">
        <v>389</v>
      </c>
      <c r="H162">
        <v>196</v>
      </c>
      <c r="I162" s="2">
        <v>43528</v>
      </c>
      <c r="J162" s="2">
        <v>44259</v>
      </c>
      <c r="K162">
        <v>60</v>
      </c>
    </row>
    <row r="163" spans="1:11" ht="75" x14ac:dyDescent="0.25">
      <c r="A163" t="str">
        <f>"ZD32B828DE"</f>
        <v>ZD32B828DE</v>
      </c>
      <c r="B163" t="str">
        <f t="shared" si="2"/>
        <v>06363391001</v>
      </c>
      <c r="C163" t="s">
        <v>16</v>
      </c>
      <c r="D163" t="s">
        <v>390</v>
      </c>
      <c r="E163" t="s">
        <v>40</v>
      </c>
      <c r="F163" s="1" t="s">
        <v>391</v>
      </c>
      <c r="G163" t="s">
        <v>392</v>
      </c>
      <c r="H163">
        <v>210</v>
      </c>
      <c r="I163" s="2">
        <v>43831</v>
      </c>
      <c r="J163" s="2">
        <v>44196</v>
      </c>
      <c r="K163">
        <v>210</v>
      </c>
    </row>
    <row r="164" spans="1:11" ht="409.5" x14ac:dyDescent="0.25">
      <c r="A164" t="str">
        <f>"ZA92B967F7"</f>
        <v>ZA92B967F7</v>
      </c>
      <c r="B164" t="str">
        <f t="shared" si="2"/>
        <v>06363391001</v>
      </c>
      <c r="C164" t="s">
        <v>16</v>
      </c>
      <c r="D164" t="s">
        <v>393</v>
      </c>
      <c r="E164" t="s">
        <v>40</v>
      </c>
      <c r="F164" s="1" t="s">
        <v>394</v>
      </c>
      <c r="G164" t="s">
        <v>395</v>
      </c>
      <c r="H164">
        <v>180</v>
      </c>
      <c r="I164" s="2">
        <v>43847</v>
      </c>
      <c r="J164" s="2">
        <v>43938</v>
      </c>
      <c r="K164">
        <v>180</v>
      </c>
    </row>
    <row r="165" spans="1:11" ht="405" x14ac:dyDescent="0.25">
      <c r="A165" t="str">
        <f>"Z4B2B9681F"</f>
        <v>Z4B2B9681F</v>
      </c>
      <c r="B165" t="str">
        <f t="shared" si="2"/>
        <v>06363391001</v>
      </c>
      <c r="C165" t="s">
        <v>16</v>
      </c>
      <c r="D165" t="s">
        <v>396</v>
      </c>
      <c r="E165" t="s">
        <v>40</v>
      </c>
      <c r="F165" s="1" t="s">
        <v>397</v>
      </c>
      <c r="G165" t="s">
        <v>398</v>
      </c>
      <c r="H165">
        <v>1171.67</v>
      </c>
      <c r="I165" s="2">
        <v>43847</v>
      </c>
      <c r="J165" s="2">
        <v>43938</v>
      </c>
      <c r="K165">
        <v>1171.67</v>
      </c>
    </row>
    <row r="166" spans="1:11" ht="75" x14ac:dyDescent="0.25">
      <c r="A166" t="str">
        <f>"Z442AC9B78"</f>
        <v>Z442AC9B78</v>
      </c>
      <c r="B166" t="str">
        <f t="shared" si="2"/>
        <v>06363391001</v>
      </c>
      <c r="C166" t="s">
        <v>16</v>
      </c>
      <c r="D166" t="s">
        <v>399</v>
      </c>
      <c r="E166" t="s">
        <v>40</v>
      </c>
      <c r="F166" s="1" t="s">
        <v>400</v>
      </c>
      <c r="G166" t="s">
        <v>401</v>
      </c>
      <c r="H166">
        <v>1750</v>
      </c>
      <c r="I166" s="2">
        <v>43791</v>
      </c>
      <c r="J166" s="2">
        <v>43840</v>
      </c>
      <c r="K166">
        <v>1750</v>
      </c>
    </row>
    <row r="167" spans="1:11" ht="105" x14ac:dyDescent="0.25">
      <c r="A167" t="str">
        <f>"Z102BEBEAE"</f>
        <v>Z102BEBEAE</v>
      </c>
      <c r="B167" t="str">
        <f t="shared" si="2"/>
        <v>06363391001</v>
      </c>
      <c r="C167" t="s">
        <v>16</v>
      </c>
      <c r="D167" t="s">
        <v>280</v>
      </c>
      <c r="E167" t="s">
        <v>40</v>
      </c>
      <c r="F167" s="1" t="s">
        <v>142</v>
      </c>
      <c r="G167" t="s">
        <v>143</v>
      </c>
      <c r="H167">
        <v>994.68</v>
      </c>
      <c r="I167" s="2">
        <v>43868</v>
      </c>
      <c r="J167" s="2">
        <v>44302</v>
      </c>
      <c r="K167">
        <v>692</v>
      </c>
    </row>
    <row r="168" spans="1:11" ht="150" x14ac:dyDescent="0.25">
      <c r="A168" t="str">
        <f>"ZC92C009F0"</f>
        <v>ZC92C009F0</v>
      </c>
      <c r="B168" t="str">
        <f t="shared" si="2"/>
        <v>06363391001</v>
      </c>
      <c r="C168" t="s">
        <v>16</v>
      </c>
      <c r="D168" t="s">
        <v>402</v>
      </c>
      <c r="E168" t="s">
        <v>40</v>
      </c>
      <c r="F168" s="1" t="s">
        <v>403</v>
      </c>
      <c r="G168" t="s">
        <v>404</v>
      </c>
      <c r="H168">
        <v>627.20000000000005</v>
      </c>
      <c r="I168" s="2">
        <v>43874</v>
      </c>
      <c r="J168" s="2">
        <v>43874</v>
      </c>
      <c r="K168">
        <v>627.20000000000005</v>
      </c>
    </row>
    <row r="169" spans="1:11" ht="75" x14ac:dyDescent="0.25">
      <c r="A169" t="str">
        <f>"Z212AEEC0B"</f>
        <v>Z212AEEC0B</v>
      </c>
      <c r="B169" t="str">
        <f t="shared" si="2"/>
        <v>06363391001</v>
      </c>
      <c r="C169" t="s">
        <v>16</v>
      </c>
      <c r="D169" t="s">
        <v>405</v>
      </c>
      <c r="E169" t="s">
        <v>40</v>
      </c>
      <c r="F169" s="1" t="s">
        <v>406</v>
      </c>
      <c r="G169" t="s">
        <v>407</v>
      </c>
      <c r="H169">
        <v>4020</v>
      </c>
      <c r="I169" s="2">
        <v>43840</v>
      </c>
      <c r="J169" s="2">
        <v>43860</v>
      </c>
      <c r="K169">
        <v>3020</v>
      </c>
    </row>
    <row r="170" spans="1:11" ht="150" x14ac:dyDescent="0.25">
      <c r="A170" t="str">
        <f>"Z1D2B1CE3D"</f>
        <v>Z1D2B1CE3D</v>
      </c>
      <c r="B170" t="str">
        <f t="shared" si="2"/>
        <v>06363391001</v>
      </c>
      <c r="C170" t="s">
        <v>16</v>
      </c>
      <c r="D170" t="s">
        <v>408</v>
      </c>
      <c r="E170" t="s">
        <v>40</v>
      </c>
      <c r="F170" s="1" t="s">
        <v>409</v>
      </c>
      <c r="G170" t="s">
        <v>410</v>
      </c>
      <c r="H170">
        <v>3200</v>
      </c>
      <c r="I170" s="2">
        <v>43818</v>
      </c>
      <c r="J170" s="2">
        <v>43819</v>
      </c>
      <c r="K170">
        <v>3200</v>
      </c>
    </row>
    <row r="171" spans="1:11" ht="90" x14ac:dyDescent="0.25">
      <c r="A171" t="str">
        <f>"Z1D2BDBA70"</f>
        <v>Z1D2BDBA70</v>
      </c>
      <c r="B171" t="str">
        <f t="shared" si="2"/>
        <v>06363391001</v>
      </c>
      <c r="C171" t="s">
        <v>16</v>
      </c>
      <c r="D171" t="s">
        <v>411</v>
      </c>
      <c r="E171" t="s">
        <v>40</v>
      </c>
      <c r="F171" s="1" t="s">
        <v>412</v>
      </c>
      <c r="G171" t="s">
        <v>413</v>
      </c>
      <c r="H171">
        <v>4491</v>
      </c>
      <c r="I171" s="2">
        <v>43868</v>
      </c>
      <c r="J171" s="2">
        <v>44050</v>
      </c>
      <c r="K171">
        <v>4491</v>
      </c>
    </row>
    <row r="172" spans="1:11" ht="75" x14ac:dyDescent="0.25">
      <c r="A172" t="str">
        <f>"ZC42AABD2F"</f>
        <v>ZC42AABD2F</v>
      </c>
      <c r="B172" t="str">
        <f t="shared" si="2"/>
        <v>06363391001</v>
      </c>
      <c r="C172" t="s">
        <v>16</v>
      </c>
      <c r="D172" t="s">
        <v>414</v>
      </c>
      <c r="E172" t="s">
        <v>40</v>
      </c>
      <c r="F172" s="1" t="s">
        <v>415</v>
      </c>
      <c r="G172" t="s">
        <v>416</v>
      </c>
      <c r="H172">
        <v>440</v>
      </c>
      <c r="I172" s="2">
        <v>43788</v>
      </c>
      <c r="J172" s="2">
        <v>43788</v>
      </c>
      <c r="K172">
        <v>400</v>
      </c>
    </row>
    <row r="173" spans="1:11" ht="409.5" x14ac:dyDescent="0.25">
      <c r="A173" t="str">
        <f>"7271967900"</f>
        <v>7271967900</v>
      </c>
      <c r="B173" t="str">
        <f t="shared" si="2"/>
        <v>06363391001</v>
      </c>
      <c r="C173" t="s">
        <v>16</v>
      </c>
      <c r="D173" t="s">
        <v>417</v>
      </c>
      <c r="E173" t="s">
        <v>132</v>
      </c>
      <c r="F173" s="1" t="s">
        <v>418</v>
      </c>
      <c r="G173" t="s">
        <v>419</v>
      </c>
      <c r="H173">
        <v>150000</v>
      </c>
      <c r="I173" s="2">
        <v>43123</v>
      </c>
      <c r="J173" s="2">
        <v>43982</v>
      </c>
      <c r="K173">
        <v>98410.78</v>
      </c>
    </row>
    <row r="174" spans="1:11" ht="135" x14ac:dyDescent="0.25">
      <c r="A174" t="str">
        <f>"Z6028DD711"</f>
        <v>Z6028DD711</v>
      </c>
      <c r="B174" t="str">
        <f t="shared" si="2"/>
        <v>06363391001</v>
      </c>
      <c r="C174" t="s">
        <v>16</v>
      </c>
      <c r="D174" t="s">
        <v>420</v>
      </c>
      <c r="E174" t="s">
        <v>132</v>
      </c>
      <c r="F174" s="1" t="s">
        <v>421</v>
      </c>
      <c r="G174" t="s">
        <v>422</v>
      </c>
      <c r="H174">
        <v>5000</v>
      </c>
      <c r="I174" s="2">
        <v>43649</v>
      </c>
      <c r="J174" s="2">
        <v>44014</v>
      </c>
      <c r="K174">
        <v>2888.91</v>
      </c>
    </row>
    <row r="175" spans="1:11" ht="105" x14ac:dyDescent="0.25">
      <c r="A175" t="str">
        <f>"Z4426B6507"</f>
        <v>Z4426B6507</v>
      </c>
      <c r="B175" t="str">
        <f t="shared" si="2"/>
        <v>06363391001</v>
      </c>
      <c r="C175" t="s">
        <v>16</v>
      </c>
      <c r="D175" t="s">
        <v>423</v>
      </c>
      <c r="E175" t="s">
        <v>132</v>
      </c>
      <c r="F175" s="1" t="s">
        <v>424</v>
      </c>
      <c r="G175" t="s">
        <v>425</v>
      </c>
      <c r="H175">
        <v>17000</v>
      </c>
      <c r="I175" s="2">
        <v>43486</v>
      </c>
      <c r="J175" s="2">
        <v>44216</v>
      </c>
      <c r="K175">
        <v>887.95</v>
      </c>
    </row>
    <row r="176" spans="1:11" ht="90" x14ac:dyDescent="0.25">
      <c r="A176" t="str">
        <f>"ZA829F6F23"</f>
        <v>ZA829F6F23</v>
      </c>
      <c r="B176" t="str">
        <f t="shared" si="2"/>
        <v>06363391001</v>
      </c>
      <c r="C176" t="s">
        <v>16</v>
      </c>
      <c r="D176" t="s">
        <v>426</v>
      </c>
      <c r="E176" t="s">
        <v>40</v>
      </c>
      <c r="F176" s="1" t="s">
        <v>139</v>
      </c>
      <c r="G176" t="s">
        <v>140</v>
      </c>
      <c r="H176">
        <v>0</v>
      </c>
      <c r="I176" s="2">
        <v>43678</v>
      </c>
      <c r="J176" s="2">
        <v>43738</v>
      </c>
      <c r="K176">
        <v>18677.22</v>
      </c>
    </row>
    <row r="177" spans="1:11" ht="150" x14ac:dyDescent="0.25">
      <c r="A177" t="str">
        <f>"Z6923C4778"</f>
        <v>Z6923C4778</v>
      </c>
      <c r="B177" t="str">
        <f t="shared" si="2"/>
        <v>06363391001</v>
      </c>
      <c r="C177" t="s">
        <v>16</v>
      </c>
      <c r="D177" t="s">
        <v>427</v>
      </c>
      <c r="E177" t="s">
        <v>132</v>
      </c>
      <c r="F177" s="1" t="s">
        <v>428</v>
      </c>
      <c r="G177" t="s">
        <v>429</v>
      </c>
      <c r="H177">
        <v>2000</v>
      </c>
      <c r="I177" s="2">
        <v>43250</v>
      </c>
      <c r="J177" s="2">
        <v>43615</v>
      </c>
      <c r="K177">
        <v>0</v>
      </c>
    </row>
    <row r="178" spans="1:11" ht="90" x14ac:dyDescent="0.25">
      <c r="A178" t="str">
        <f>"7776948C80"</f>
        <v>7776948C80</v>
      </c>
      <c r="B178" t="str">
        <f t="shared" si="2"/>
        <v>06363391001</v>
      </c>
      <c r="C178" t="s">
        <v>16</v>
      </c>
      <c r="D178" t="s">
        <v>430</v>
      </c>
      <c r="E178" t="s">
        <v>18</v>
      </c>
      <c r="F178" s="1" t="s">
        <v>116</v>
      </c>
      <c r="G178" t="s">
        <v>117</v>
      </c>
      <c r="H178">
        <v>10133.76</v>
      </c>
      <c r="I178" s="2">
        <v>43669</v>
      </c>
      <c r="J178" s="2">
        <v>45129</v>
      </c>
      <c r="K178">
        <v>3594.17</v>
      </c>
    </row>
    <row r="179" spans="1:11" ht="90" x14ac:dyDescent="0.25">
      <c r="A179" t="str">
        <f>"77769416BB"</f>
        <v>77769416BB</v>
      </c>
      <c r="B179" t="str">
        <f t="shared" si="2"/>
        <v>06363391001</v>
      </c>
      <c r="C179" t="s">
        <v>16</v>
      </c>
      <c r="D179" t="s">
        <v>431</v>
      </c>
      <c r="E179" t="s">
        <v>18</v>
      </c>
      <c r="F179" s="1" t="s">
        <v>116</v>
      </c>
      <c r="G179" t="s">
        <v>117</v>
      </c>
      <c r="H179">
        <v>10368.48</v>
      </c>
      <c r="I179" s="2">
        <v>43627</v>
      </c>
      <c r="J179" s="2">
        <v>45087</v>
      </c>
      <c r="K179">
        <v>3639.78</v>
      </c>
    </row>
    <row r="180" spans="1:11" ht="90" x14ac:dyDescent="0.25">
      <c r="A180" t="str">
        <f>"77769530A4"</f>
        <v>77769530A4</v>
      </c>
      <c r="B180" t="str">
        <f t="shared" si="2"/>
        <v>06363391001</v>
      </c>
      <c r="C180" t="s">
        <v>16</v>
      </c>
      <c r="D180" t="s">
        <v>432</v>
      </c>
      <c r="E180" t="s">
        <v>18</v>
      </c>
      <c r="F180" s="1" t="s">
        <v>116</v>
      </c>
      <c r="G180" t="s">
        <v>117</v>
      </c>
      <c r="H180">
        <v>10853.76</v>
      </c>
      <c r="I180" s="2">
        <v>43632</v>
      </c>
      <c r="J180" s="2">
        <v>45092</v>
      </c>
      <c r="K180">
        <v>3678.46</v>
      </c>
    </row>
    <row r="181" spans="1:11" ht="90" x14ac:dyDescent="0.25">
      <c r="A181" t="str">
        <f>"77769584C3"</f>
        <v>77769584C3</v>
      </c>
      <c r="B181" t="str">
        <f t="shared" si="2"/>
        <v>06363391001</v>
      </c>
      <c r="C181" t="s">
        <v>16</v>
      </c>
      <c r="D181" t="s">
        <v>433</v>
      </c>
      <c r="E181" t="s">
        <v>18</v>
      </c>
      <c r="F181" s="1" t="s">
        <v>116</v>
      </c>
      <c r="G181" t="s">
        <v>117</v>
      </c>
      <c r="H181">
        <v>10853.76</v>
      </c>
      <c r="I181" s="2">
        <v>43627</v>
      </c>
      <c r="J181" s="2">
        <v>45087</v>
      </c>
      <c r="K181">
        <v>3197.56</v>
      </c>
    </row>
    <row r="182" spans="1:11" ht="90" x14ac:dyDescent="0.25">
      <c r="A182" t="str">
        <f>"7776928BFF"</f>
        <v>7776928BFF</v>
      </c>
      <c r="B182" t="str">
        <f t="shared" si="2"/>
        <v>06363391001</v>
      </c>
      <c r="C182" t="s">
        <v>16</v>
      </c>
      <c r="D182" t="s">
        <v>434</v>
      </c>
      <c r="E182" t="s">
        <v>18</v>
      </c>
      <c r="F182" s="1" t="s">
        <v>116</v>
      </c>
      <c r="G182" t="s">
        <v>117</v>
      </c>
      <c r="H182">
        <v>11088.48</v>
      </c>
      <c r="I182" s="2">
        <v>43617</v>
      </c>
      <c r="J182" s="2">
        <v>45078</v>
      </c>
      <c r="K182">
        <v>3703.61</v>
      </c>
    </row>
    <row r="183" spans="1:11" ht="90" x14ac:dyDescent="0.25">
      <c r="A183" t="str">
        <f>"7776943861"</f>
        <v>7776943861</v>
      </c>
      <c r="B183" t="str">
        <f t="shared" si="2"/>
        <v>06363391001</v>
      </c>
      <c r="C183" t="s">
        <v>16</v>
      </c>
      <c r="D183" t="s">
        <v>435</v>
      </c>
      <c r="E183" t="s">
        <v>18</v>
      </c>
      <c r="F183" s="1" t="s">
        <v>116</v>
      </c>
      <c r="G183" t="s">
        <v>117</v>
      </c>
      <c r="H183">
        <v>11088.48</v>
      </c>
      <c r="I183" s="2">
        <v>43624</v>
      </c>
      <c r="J183" s="2">
        <v>45084</v>
      </c>
      <c r="K183">
        <v>4002.86</v>
      </c>
    </row>
    <row r="184" spans="1:11" ht="90" x14ac:dyDescent="0.25">
      <c r="A184" t="str">
        <f>"77769237E0"</f>
        <v>77769237E0</v>
      </c>
      <c r="B184" t="str">
        <f t="shared" si="2"/>
        <v>06363391001</v>
      </c>
      <c r="C184" t="s">
        <v>16</v>
      </c>
      <c r="D184" t="s">
        <v>436</v>
      </c>
      <c r="E184" t="s">
        <v>18</v>
      </c>
      <c r="F184" s="1" t="s">
        <v>116</v>
      </c>
      <c r="G184" t="s">
        <v>117</v>
      </c>
      <c r="H184">
        <v>11088.48</v>
      </c>
      <c r="I184" s="2">
        <v>43605</v>
      </c>
      <c r="J184" s="2">
        <v>45065</v>
      </c>
      <c r="K184">
        <v>3642.24</v>
      </c>
    </row>
    <row r="185" spans="1:11" ht="60" x14ac:dyDescent="0.25">
      <c r="A185" t="str">
        <f>"815790000D"</f>
        <v>815790000D</v>
      </c>
      <c r="B185" t="str">
        <f t="shared" si="2"/>
        <v>06363391001</v>
      </c>
      <c r="C185" t="s">
        <v>16</v>
      </c>
      <c r="D185" t="s">
        <v>280</v>
      </c>
      <c r="E185" t="s">
        <v>53</v>
      </c>
      <c r="F185" s="1" t="s">
        <v>437</v>
      </c>
      <c r="G185" t="s">
        <v>438</v>
      </c>
      <c r="H185">
        <v>60507</v>
      </c>
      <c r="I185" s="2">
        <v>43831</v>
      </c>
      <c r="J185" s="2">
        <v>44196</v>
      </c>
      <c r="K185">
        <v>60507</v>
      </c>
    </row>
    <row r="186" spans="1:11" ht="150" x14ac:dyDescent="0.25">
      <c r="A186" t="str">
        <f>"Z052C3AD80"</f>
        <v>Z052C3AD80</v>
      </c>
      <c r="B186" t="str">
        <f t="shared" si="2"/>
        <v>06363391001</v>
      </c>
      <c r="C186" t="s">
        <v>16</v>
      </c>
      <c r="D186" t="s">
        <v>439</v>
      </c>
      <c r="E186" t="s">
        <v>40</v>
      </c>
      <c r="F186" s="1" t="s">
        <v>440</v>
      </c>
      <c r="G186" t="s">
        <v>441</v>
      </c>
      <c r="H186">
        <v>6122.5</v>
      </c>
      <c r="I186" s="2">
        <v>43887</v>
      </c>
      <c r="J186" s="2">
        <v>44069</v>
      </c>
      <c r="K186">
        <v>6122.5</v>
      </c>
    </row>
    <row r="187" spans="1:11" ht="150" x14ac:dyDescent="0.25">
      <c r="A187" t="str">
        <f>"ZD72C3BCEC"</f>
        <v>ZD72C3BCEC</v>
      </c>
      <c r="B187" t="str">
        <f t="shared" si="2"/>
        <v>06363391001</v>
      </c>
      <c r="C187" t="s">
        <v>16</v>
      </c>
      <c r="D187" t="s">
        <v>442</v>
      </c>
      <c r="E187" t="s">
        <v>40</v>
      </c>
      <c r="F187" s="1" t="s">
        <v>351</v>
      </c>
      <c r="G187" t="s">
        <v>352</v>
      </c>
      <c r="H187">
        <v>613.14</v>
      </c>
      <c r="I187" s="2">
        <v>43888</v>
      </c>
      <c r="J187" s="2">
        <v>43888</v>
      </c>
      <c r="K187">
        <v>502.57</v>
      </c>
    </row>
    <row r="188" spans="1:11" ht="150" x14ac:dyDescent="0.25">
      <c r="A188" t="str">
        <f>"ZB02C4261B"</f>
        <v>ZB02C4261B</v>
      </c>
      <c r="B188" t="str">
        <f t="shared" si="2"/>
        <v>06363391001</v>
      </c>
      <c r="C188" t="s">
        <v>16</v>
      </c>
      <c r="D188" t="s">
        <v>442</v>
      </c>
      <c r="E188" t="s">
        <v>40</v>
      </c>
      <c r="F188" s="1" t="s">
        <v>351</v>
      </c>
      <c r="G188" t="s">
        <v>352</v>
      </c>
      <c r="H188">
        <v>1691.41</v>
      </c>
      <c r="I188" s="2">
        <v>43889</v>
      </c>
      <c r="J188" s="2">
        <v>43889</v>
      </c>
      <c r="K188">
        <v>1386.4</v>
      </c>
    </row>
    <row r="189" spans="1:11" ht="90" x14ac:dyDescent="0.25">
      <c r="A189" t="str">
        <f>"8196381B90"</f>
        <v>8196381B90</v>
      </c>
      <c r="B189" t="str">
        <f t="shared" si="2"/>
        <v>06363391001</v>
      </c>
      <c r="C189" t="s">
        <v>16</v>
      </c>
      <c r="D189" t="s">
        <v>443</v>
      </c>
      <c r="E189" t="s">
        <v>18</v>
      </c>
      <c r="F189" s="1" t="s">
        <v>104</v>
      </c>
      <c r="G189" t="s">
        <v>105</v>
      </c>
      <c r="H189">
        <v>0</v>
      </c>
      <c r="I189" s="2">
        <v>43922</v>
      </c>
      <c r="J189" s="2">
        <v>44286</v>
      </c>
      <c r="K189">
        <v>110868.82</v>
      </c>
    </row>
    <row r="190" spans="1:11" ht="120" x14ac:dyDescent="0.25">
      <c r="A190" t="str">
        <f>"Z762C29526"</f>
        <v>Z762C29526</v>
      </c>
      <c r="B190" t="str">
        <f t="shared" si="2"/>
        <v>06363391001</v>
      </c>
      <c r="C190" t="s">
        <v>16</v>
      </c>
      <c r="D190" t="s">
        <v>444</v>
      </c>
      <c r="E190" t="s">
        <v>40</v>
      </c>
      <c r="F190" s="1" t="s">
        <v>445</v>
      </c>
      <c r="G190" t="s">
        <v>83</v>
      </c>
      <c r="H190">
        <v>405</v>
      </c>
      <c r="I190" s="2">
        <v>43902</v>
      </c>
      <c r="J190" s="2">
        <v>44085</v>
      </c>
      <c r="K190">
        <v>405</v>
      </c>
    </row>
    <row r="191" spans="1:11" ht="150" x14ac:dyDescent="0.25">
      <c r="A191" t="str">
        <f>"Z362A911AA"</f>
        <v>Z362A911AA</v>
      </c>
      <c r="B191" t="str">
        <f t="shared" si="2"/>
        <v>06363391001</v>
      </c>
      <c r="C191" t="s">
        <v>16</v>
      </c>
      <c r="D191" t="s">
        <v>446</v>
      </c>
      <c r="E191" t="s">
        <v>40</v>
      </c>
      <c r="F191" s="1" t="s">
        <v>447</v>
      </c>
      <c r="G191" t="s">
        <v>448</v>
      </c>
      <c r="H191">
        <v>6000</v>
      </c>
      <c r="I191" s="2">
        <v>43831</v>
      </c>
      <c r="J191" s="2">
        <v>44196</v>
      </c>
      <c r="K191">
        <v>4918.03</v>
      </c>
    </row>
    <row r="192" spans="1:11" ht="90" x14ac:dyDescent="0.25">
      <c r="A192" t="str">
        <f>"Z262C70585"</f>
        <v>Z262C70585</v>
      </c>
      <c r="B192" t="str">
        <f t="shared" si="2"/>
        <v>06363391001</v>
      </c>
      <c r="C192" t="s">
        <v>16</v>
      </c>
      <c r="D192" t="s">
        <v>449</v>
      </c>
      <c r="E192" t="s">
        <v>40</v>
      </c>
      <c r="F192" s="1" t="s">
        <v>450</v>
      </c>
      <c r="G192" t="s">
        <v>451</v>
      </c>
      <c r="H192">
        <v>5000</v>
      </c>
      <c r="I192" s="2">
        <v>43903</v>
      </c>
      <c r="J192" s="2">
        <v>43906</v>
      </c>
      <c r="K192">
        <v>5000</v>
      </c>
    </row>
    <row r="193" spans="1:11" ht="90" x14ac:dyDescent="0.25">
      <c r="A193" t="str">
        <f>"Z352C83691"</f>
        <v>Z352C83691</v>
      </c>
      <c r="B193" t="str">
        <f t="shared" si="2"/>
        <v>06363391001</v>
      </c>
      <c r="C193" t="s">
        <v>16</v>
      </c>
      <c r="D193" t="s">
        <v>452</v>
      </c>
      <c r="E193" t="s">
        <v>40</v>
      </c>
      <c r="F193" s="1" t="s">
        <v>453</v>
      </c>
      <c r="G193" t="s">
        <v>454</v>
      </c>
      <c r="H193">
        <v>3000</v>
      </c>
      <c r="I193" s="2">
        <v>43913</v>
      </c>
      <c r="J193" s="2">
        <v>43917</v>
      </c>
      <c r="K193">
        <v>3000</v>
      </c>
    </row>
    <row r="194" spans="1:11" ht="90" x14ac:dyDescent="0.25">
      <c r="A194" t="str">
        <f>"Z132C7E4D9"</f>
        <v>Z132C7E4D9</v>
      </c>
      <c r="B194" t="str">
        <f t="shared" si="2"/>
        <v>06363391001</v>
      </c>
      <c r="C194" t="s">
        <v>16</v>
      </c>
      <c r="D194" t="s">
        <v>455</v>
      </c>
      <c r="E194" t="s">
        <v>40</v>
      </c>
      <c r="F194" s="1" t="s">
        <v>155</v>
      </c>
      <c r="G194" t="s">
        <v>156</v>
      </c>
      <c r="H194">
        <v>18000</v>
      </c>
      <c r="I194" s="2">
        <v>43911</v>
      </c>
      <c r="J194" s="2">
        <v>44276</v>
      </c>
      <c r="K194">
        <v>0</v>
      </c>
    </row>
    <row r="195" spans="1:11" ht="105" x14ac:dyDescent="0.25">
      <c r="A195" t="str">
        <f>"Z152C14337"</f>
        <v>Z152C14337</v>
      </c>
      <c r="B195" t="str">
        <f t="shared" ref="B195:B258" si="3">"06363391001"</f>
        <v>06363391001</v>
      </c>
      <c r="C195" t="s">
        <v>16</v>
      </c>
      <c r="D195" t="s">
        <v>456</v>
      </c>
      <c r="E195" t="s">
        <v>40</v>
      </c>
      <c r="F195" s="1" t="s">
        <v>457</v>
      </c>
      <c r="G195" t="s">
        <v>458</v>
      </c>
      <c r="H195">
        <v>3120</v>
      </c>
      <c r="I195" s="2">
        <v>43882</v>
      </c>
      <c r="J195" s="2">
        <v>44064</v>
      </c>
      <c r="K195">
        <v>0</v>
      </c>
    </row>
    <row r="196" spans="1:11" ht="165" x14ac:dyDescent="0.25">
      <c r="A196" t="str">
        <f>"Z4D2C73259"</f>
        <v>Z4D2C73259</v>
      </c>
      <c r="B196" t="str">
        <f t="shared" si="3"/>
        <v>06363391001</v>
      </c>
      <c r="C196" t="s">
        <v>16</v>
      </c>
      <c r="D196" t="s">
        <v>459</v>
      </c>
      <c r="E196" t="s">
        <v>40</v>
      </c>
      <c r="F196" s="1" t="s">
        <v>460</v>
      </c>
      <c r="G196" t="s">
        <v>461</v>
      </c>
      <c r="H196">
        <v>140.30000000000001</v>
      </c>
      <c r="I196" s="2">
        <v>43911</v>
      </c>
      <c r="J196" s="2">
        <v>43972</v>
      </c>
      <c r="K196">
        <v>140.30000000000001</v>
      </c>
    </row>
    <row r="197" spans="1:11" ht="165" x14ac:dyDescent="0.25">
      <c r="A197" t="str">
        <f>"Z2B2C84585"</f>
        <v>Z2B2C84585</v>
      </c>
      <c r="B197" t="str">
        <f t="shared" si="3"/>
        <v>06363391001</v>
      </c>
      <c r="C197" t="s">
        <v>16</v>
      </c>
      <c r="D197" t="s">
        <v>462</v>
      </c>
      <c r="E197" t="s">
        <v>40</v>
      </c>
      <c r="F197" s="1" t="s">
        <v>309</v>
      </c>
      <c r="G197" t="s">
        <v>310</v>
      </c>
      <c r="H197">
        <v>4000</v>
      </c>
      <c r="I197" s="2">
        <v>43939</v>
      </c>
      <c r="J197" s="2">
        <v>44303</v>
      </c>
      <c r="K197">
        <v>4000</v>
      </c>
    </row>
    <row r="198" spans="1:11" ht="409.5" x14ac:dyDescent="0.25">
      <c r="A198" t="str">
        <f>"Z9C2C53921"</f>
        <v>Z9C2C53921</v>
      </c>
      <c r="B198" t="str">
        <f t="shared" si="3"/>
        <v>06363391001</v>
      </c>
      <c r="C198" t="s">
        <v>16</v>
      </c>
      <c r="D198" t="s">
        <v>463</v>
      </c>
      <c r="E198" t="s">
        <v>53</v>
      </c>
      <c r="F198" s="1" t="s">
        <v>464</v>
      </c>
      <c r="G198" t="s">
        <v>465</v>
      </c>
      <c r="H198">
        <v>4613</v>
      </c>
      <c r="I198" s="2">
        <v>43914</v>
      </c>
      <c r="J198" s="2">
        <v>44286</v>
      </c>
      <c r="K198">
        <v>4613</v>
      </c>
    </row>
    <row r="199" spans="1:11" ht="409.5" x14ac:dyDescent="0.25">
      <c r="A199" t="str">
        <f>"5110141DBE"</f>
        <v>5110141DBE</v>
      </c>
      <c r="B199" t="str">
        <f t="shared" si="3"/>
        <v>06363391001</v>
      </c>
      <c r="C199" t="s">
        <v>16</v>
      </c>
      <c r="D199" t="s">
        <v>466</v>
      </c>
      <c r="E199" t="s">
        <v>467</v>
      </c>
      <c r="F199" s="1" t="s">
        <v>468</v>
      </c>
      <c r="G199" s="1" t="s">
        <v>469</v>
      </c>
      <c r="H199">
        <v>3000000</v>
      </c>
      <c r="I199" s="2">
        <v>42095</v>
      </c>
      <c r="J199" s="2">
        <v>44012</v>
      </c>
      <c r="K199">
        <v>2289965.44</v>
      </c>
    </row>
    <row r="200" spans="1:11" ht="409.5" x14ac:dyDescent="0.25">
      <c r="A200" t="str">
        <f>"51290176B8"</f>
        <v>51290176B8</v>
      </c>
      <c r="B200" t="str">
        <f t="shared" si="3"/>
        <v>06363391001</v>
      </c>
      <c r="C200" t="s">
        <v>16</v>
      </c>
      <c r="D200" t="s">
        <v>470</v>
      </c>
      <c r="E200" t="s">
        <v>467</v>
      </c>
      <c r="F200" s="1" t="s">
        <v>471</v>
      </c>
      <c r="G200" t="s">
        <v>472</v>
      </c>
      <c r="H200">
        <v>5406000</v>
      </c>
      <c r="I200" s="2">
        <v>41924</v>
      </c>
      <c r="J200" s="2">
        <v>44012</v>
      </c>
      <c r="K200">
        <v>5154042.3499999996</v>
      </c>
    </row>
    <row r="201" spans="1:11" ht="409.5" x14ac:dyDescent="0.25">
      <c r="A201" t="str">
        <f>"5110138B45"</f>
        <v>5110138B45</v>
      </c>
      <c r="B201" t="str">
        <f t="shared" si="3"/>
        <v>06363391001</v>
      </c>
      <c r="C201" t="s">
        <v>16</v>
      </c>
      <c r="D201" t="s">
        <v>473</v>
      </c>
      <c r="E201" t="s">
        <v>467</v>
      </c>
      <c r="F201" s="1" t="s">
        <v>474</v>
      </c>
      <c r="G201" s="1" t="s">
        <v>475</v>
      </c>
      <c r="H201">
        <v>2225000</v>
      </c>
      <c r="I201" s="2">
        <v>42036</v>
      </c>
      <c r="J201" s="2">
        <v>44012</v>
      </c>
      <c r="K201">
        <v>2084282.49</v>
      </c>
    </row>
    <row r="202" spans="1:11" ht="409.5" x14ac:dyDescent="0.25">
      <c r="A202" t="str">
        <f>"5773365B81"</f>
        <v>5773365B81</v>
      </c>
      <c r="B202" t="str">
        <f t="shared" si="3"/>
        <v>06363391001</v>
      </c>
      <c r="C202" t="s">
        <v>16</v>
      </c>
      <c r="D202" t="s">
        <v>476</v>
      </c>
      <c r="E202" t="s">
        <v>70</v>
      </c>
      <c r="F202" s="1" t="s">
        <v>477</v>
      </c>
      <c r="G202" t="s">
        <v>478</v>
      </c>
      <c r="H202">
        <v>1083544.48</v>
      </c>
      <c r="I202" s="2">
        <v>42269</v>
      </c>
      <c r="J202" s="2">
        <v>44012</v>
      </c>
      <c r="K202">
        <v>563086.24</v>
      </c>
    </row>
    <row r="203" spans="1:11" ht="409.5" x14ac:dyDescent="0.25">
      <c r="A203" t="str">
        <f>"577339329F"</f>
        <v>577339329F</v>
      </c>
      <c r="B203" t="str">
        <f t="shared" si="3"/>
        <v>06363391001</v>
      </c>
      <c r="C203" t="s">
        <v>16</v>
      </c>
      <c r="D203" t="s">
        <v>479</v>
      </c>
      <c r="E203" t="s">
        <v>70</v>
      </c>
      <c r="F203" s="1" t="s">
        <v>480</v>
      </c>
      <c r="G203" t="s">
        <v>478</v>
      </c>
      <c r="H203">
        <v>1250275.44</v>
      </c>
      <c r="I203" s="2">
        <v>42143</v>
      </c>
      <c r="J203" s="2">
        <v>44012</v>
      </c>
      <c r="K203">
        <v>957654.84</v>
      </c>
    </row>
    <row r="204" spans="1:11" ht="409.5" x14ac:dyDescent="0.25">
      <c r="A204" t="str">
        <f>"5773409FCF"</f>
        <v>5773409FCF</v>
      </c>
      <c r="B204" t="str">
        <f t="shared" si="3"/>
        <v>06363391001</v>
      </c>
      <c r="C204" t="s">
        <v>16</v>
      </c>
      <c r="D204" t="s">
        <v>481</v>
      </c>
      <c r="E204" t="s">
        <v>70</v>
      </c>
      <c r="F204" s="1" t="s">
        <v>482</v>
      </c>
      <c r="G204" s="1" t="s">
        <v>483</v>
      </c>
      <c r="H204">
        <v>1734007.92</v>
      </c>
      <c r="I204" s="2">
        <v>42145</v>
      </c>
      <c r="J204" s="2">
        <v>44012</v>
      </c>
      <c r="K204">
        <v>1045082.79</v>
      </c>
    </row>
    <row r="205" spans="1:11" ht="409.5" x14ac:dyDescent="0.25">
      <c r="A205" t="str">
        <f>"5773384B2F"</f>
        <v>5773384B2F</v>
      </c>
      <c r="B205" t="str">
        <f t="shared" si="3"/>
        <v>06363391001</v>
      </c>
      <c r="C205" t="s">
        <v>16</v>
      </c>
      <c r="D205" t="s">
        <v>484</v>
      </c>
      <c r="E205" t="s">
        <v>70</v>
      </c>
      <c r="F205" s="1" t="s">
        <v>485</v>
      </c>
      <c r="G205" t="s">
        <v>114</v>
      </c>
      <c r="H205">
        <v>1588274.12</v>
      </c>
      <c r="I205" s="2">
        <v>42144</v>
      </c>
      <c r="J205" s="2">
        <v>44012</v>
      </c>
      <c r="K205">
        <v>1080051.52</v>
      </c>
    </row>
    <row r="206" spans="1:11" ht="120" x14ac:dyDescent="0.25">
      <c r="A206" t="str">
        <f>"Z6E2C294F4"</f>
        <v>Z6E2C294F4</v>
      </c>
      <c r="B206" t="str">
        <f t="shared" si="3"/>
        <v>06363391001</v>
      </c>
      <c r="C206" t="s">
        <v>16</v>
      </c>
      <c r="D206" t="s">
        <v>486</v>
      </c>
      <c r="E206" t="s">
        <v>40</v>
      </c>
      <c r="F206" s="1" t="s">
        <v>487</v>
      </c>
      <c r="G206" t="s">
        <v>488</v>
      </c>
      <c r="H206">
        <v>113.41</v>
      </c>
      <c r="I206" s="2">
        <v>43902</v>
      </c>
      <c r="J206" s="2">
        <v>44085</v>
      </c>
      <c r="K206">
        <v>113.41</v>
      </c>
    </row>
    <row r="207" spans="1:11" ht="90" x14ac:dyDescent="0.25">
      <c r="A207" t="str">
        <f>"ZEE2C99379"</f>
        <v>ZEE2C99379</v>
      </c>
      <c r="B207" t="str">
        <f t="shared" si="3"/>
        <v>06363391001</v>
      </c>
      <c r="C207" t="s">
        <v>16</v>
      </c>
      <c r="D207" t="s">
        <v>489</v>
      </c>
      <c r="E207" t="s">
        <v>40</v>
      </c>
      <c r="F207" s="1" t="s">
        <v>490</v>
      </c>
      <c r="G207" t="s">
        <v>491</v>
      </c>
      <c r="H207">
        <v>2328.69</v>
      </c>
      <c r="I207" s="2">
        <v>43922</v>
      </c>
      <c r="J207" s="2">
        <v>43983</v>
      </c>
      <c r="K207">
        <v>2328.69</v>
      </c>
    </row>
    <row r="208" spans="1:11" ht="90" x14ac:dyDescent="0.25">
      <c r="A208" t="str">
        <f>"ZAC2CA3BF9"</f>
        <v>ZAC2CA3BF9</v>
      </c>
      <c r="B208" t="str">
        <f t="shared" si="3"/>
        <v>06363391001</v>
      </c>
      <c r="C208" t="s">
        <v>16</v>
      </c>
      <c r="D208" t="s">
        <v>492</v>
      </c>
      <c r="E208" t="s">
        <v>40</v>
      </c>
      <c r="F208" s="1" t="s">
        <v>293</v>
      </c>
      <c r="G208" t="s">
        <v>294</v>
      </c>
      <c r="H208">
        <v>569.5</v>
      </c>
      <c r="I208" s="2">
        <v>43929</v>
      </c>
      <c r="J208" s="2">
        <v>44293</v>
      </c>
      <c r="K208">
        <v>569.5</v>
      </c>
    </row>
    <row r="209" spans="1:11" ht="180" x14ac:dyDescent="0.25">
      <c r="A209" t="str">
        <f>"ZF22C3ADA6"</f>
        <v>ZF22C3ADA6</v>
      </c>
      <c r="B209" t="str">
        <f t="shared" si="3"/>
        <v>06363391001</v>
      </c>
      <c r="C209" t="s">
        <v>16</v>
      </c>
      <c r="D209" t="s">
        <v>493</v>
      </c>
      <c r="E209" t="s">
        <v>40</v>
      </c>
      <c r="F209" s="1" t="s">
        <v>494</v>
      </c>
      <c r="G209" t="s">
        <v>495</v>
      </c>
      <c r="H209">
        <v>2800</v>
      </c>
      <c r="I209" s="2">
        <v>43900</v>
      </c>
      <c r="J209" s="2">
        <v>43959</v>
      </c>
      <c r="K209">
        <v>2800</v>
      </c>
    </row>
    <row r="210" spans="1:11" ht="105" x14ac:dyDescent="0.25">
      <c r="A210" t="str">
        <f>"8246444CDB"</f>
        <v>8246444CDB</v>
      </c>
      <c r="B210" t="str">
        <f t="shared" si="3"/>
        <v>06363391001</v>
      </c>
      <c r="C210" t="s">
        <v>16</v>
      </c>
      <c r="D210" t="s">
        <v>496</v>
      </c>
      <c r="E210" t="s">
        <v>18</v>
      </c>
      <c r="F210" s="1" t="s">
        <v>249</v>
      </c>
      <c r="G210" t="s">
        <v>250</v>
      </c>
      <c r="H210">
        <v>0</v>
      </c>
      <c r="I210" s="2">
        <v>43927</v>
      </c>
      <c r="J210" s="2">
        <v>43929</v>
      </c>
      <c r="K210">
        <v>4545.87</v>
      </c>
    </row>
    <row r="211" spans="1:11" ht="150" x14ac:dyDescent="0.25">
      <c r="A211" t="str">
        <f>"ZE32CA382B"</f>
        <v>ZE32CA382B</v>
      </c>
      <c r="B211" t="str">
        <f t="shared" si="3"/>
        <v>06363391001</v>
      </c>
      <c r="C211" t="s">
        <v>16</v>
      </c>
      <c r="D211" t="s">
        <v>497</v>
      </c>
      <c r="E211" t="s">
        <v>40</v>
      </c>
      <c r="F211" s="1" t="s">
        <v>351</v>
      </c>
      <c r="G211" t="s">
        <v>352</v>
      </c>
      <c r="H211">
        <v>2790.13</v>
      </c>
      <c r="I211" s="2">
        <v>43931</v>
      </c>
      <c r="J211" s="2">
        <v>43931</v>
      </c>
      <c r="K211">
        <v>2790.13</v>
      </c>
    </row>
    <row r="212" spans="1:11" ht="105" x14ac:dyDescent="0.25">
      <c r="A212" t="str">
        <f>"Z552BDB9D8"</f>
        <v>Z552BDB9D8</v>
      </c>
      <c r="B212" t="str">
        <f t="shared" si="3"/>
        <v>06363391001</v>
      </c>
      <c r="C212" t="s">
        <v>16</v>
      </c>
      <c r="D212" t="s">
        <v>498</v>
      </c>
      <c r="E212" t="s">
        <v>40</v>
      </c>
      <c r="F212" s="1" t="s">
        <v>142</v>
      </c>
      <c r="G212" t="s">
        <v>143</v>
      </c>
      <c r="H212">
        <v>22412</v>
      </c>
      <c r="I212" s="2">
        <v>43831</v>
      </c>
      <c r="J212" s="2">
        <v>44196</v>
      </c>
      <c r="K212">
        <v>22412</v>
      </c>
    </row>
    <row r="213" spans="1:11" ht="409.5" x14ac:dyDescent="0.25">
      <c r="A213" t="str">
        <f>"6751815DFC"</f>
        <v>6751815DFC</v>
      </c>
      <c r="B213" t="str">
        <f t="shared" si="3"/>
        <v>06363391001</v>
      </c>
      <c r="C213" t="s">
        <v>16</v>
      </c>
      <c r="D213" t="s">
        <v>499</v>
      </c>
      <c r="E213" t="s">
        <v>53</v>
      </c>
      <c r="F213" s="1" t="s">
        <v>500</v>
      </c>
      <c r="G213" t="s">
        <v>203</v>
      </c>
      <c r="H213">
        <v>170000</v>
      </c>
      <c r="I213" s="2">
        <v>42761</v>
      </c>
      <c r="J213" s="2">
        <v>44043</v>
      </c>
      <c r="K213">
        <v>138250</v>
      </c>
    </row>
    <row r="214" spans="1:11" ht="120" x14ac:dyDescent="0.25">
      <c r="A214" t="str">
        <f>"ZE82CB008D"</f>
        <v>ZE82CB008D</v>
      </c>
      <c r="B214" t="str">
        <f t="shared" si="3"/>
        <v>06363391001</v>
      </c>
      <c r="C214" t="s">
        <v>16</v>
      </c>
      <c r="D214" t="s">
        <v>501</v>
      </c>
      <c r="E214" t="s">
        <v>40</v>
      </c>
      <c r="F214" s="1" t="s">
        <v>502</v>
      </c>
      <c r="G214" t="s">
        <v>503</v>
      </c>
      <c r="H214">
        <v>1125</v>
      </c>
      <c r="I214" s="2">
        <v>43931</v>
      </c>
      <c r="J214" s="2">
        <v>43942</v>
      </c>
      <c r="K214">
        <v>1125</v>
      </c>
    </row>
    <row r="215" spans="1:11" ht="150" x14ac:dyDescent="0.25">
      <c r="A215" t="str">
        <f>"Z912CB6795"</f>
        <v>Z912CB6795</v>
      </c>
      <c r="B215" t="str">
        <f t="shared" si="3"/>
        <v>06363391001</v>
      </c>
      <c r="C215" t="s">
        <v>16</v>
      </c>
      <c r="D215" t="s">
        <v>504</v>
      </c>
      <c r="E215" t="s">
        <v>40</v>
      </c>
      <c r="F215" s="1" t="s">
        <v>351</v>
      </c>
      <c r="G215" t="s">
        <v>352</v>
      </c>
      <c r="H215">
        <v>2720.81</v>
      </c>
      <c r="I215" s="2">
        <v>43941</v>
      </c>
      <c r="J215" s="2">
        <v>43941</v>
      </c>
      <c r="K215">
        <v>2720.81</v>
      </c>
    </row>
    <row r="216" spans="1:11" ht="90" x14ac:dyDescent="0.25">
      <c r="A216" t="str">
        <f>"82876343EE"</f>
        <v>82876343EE</v>
      </c>
      <c r="B216" t="str">
        <f t="shared" si="3"/>
        <v>06363391001</v>
      </c>
      <c r="C216" t="s">
        <v>16</v>
      </c>
      <c r="D216" t="s">
        <v>505</v>
      </c>
      <c r="E216" t="s">
        <v>18</v>
      </c>
      <c r="F216" s="1" t="s">
        <v>46</v>
      </c>
      <c r="G216" t="s">
        <v>47</v>
      </c>
      <c r="H216">
        <v>0</v>
      </c>
      <c r="I216" s="2">
        <v>44013</v>
      </c>
      <c r="J216" s="2">
        <v>44377</v>
      </c>
      <c r="K216">
        <v>414.91</v>
      </c>
    </row>
    <row r="217" spans="1:11" ht="409.5" x14ac:dyDescent="0.25">
      <c r="A217" t="str">
        <f>"5866045D75"</f>
        <v>5866045D75</v>
      </c>
      <c r="B217" t="str">
        <f t="shared" si="3"/>
        <v>06363391001</v>
      </c>
      <c r="C217" t="s">
        <v>16</v>
      </c>
      <c r="D217" t="s">
        <v>506</v>
      </c>
      <c r="E217" t="s">
        <v>70</v>
      </c>
      <c r="F217" s="1" t="s">
        <v>507</v>
      </c>
      <c r="G217" t="s">
        <v>508</v>
      </c>
      <c r="H217">
        <v>9186683.5700000003</v>
      </c>
      <c r="I217" s="2">
        <v>42789</v>
      </c>
      <c r="J217" s="2">
        <v>44408</v>
      </c>
      <c r="K217">
        <v>0</v>
      </c>
    </row>
    <row r="218" spans="1:11" ht="150" x14ac:dyDescent="0.25">
      <c r="A218" t="str">
        <f>"Z762CF6F9A"</f>
        <v>Z762CF6F9A</v>
      </c>
      <c r="B218" t="str">
        <f t="shared" si="3"/>
        <v>06363391001</v>
      </c>
      <c r="C218" t="s">
        <v>16</v>
      </c>
      <c r="D218" t="s">
        <v>509</v>
      </c>
      <c r="E218" t="s">
        <v>40</v>
      </c>
      <c r="F218" s="1" t="s">
        <v>351</v>
      </c>
      <c r="G218" t="s">
        <v>352</v>
      </c>
      <c r="H218">
        <v>433.25</v>
      </c>
      <c r="I218" s="2">
        <v>43966</v>
      </c>
      <c r="J218" s="2">
        <v>43966</v>
      </c>
      <c r="K218">
        <v>433.25</v>
      </c>
    </row>
    <row r="219" spans="1:11" ht="120" x14ac:dyDescent="0.25">
      <c r="A219" t="str">
        <f>"Z492CDB8F8"</f>
        <v>Z492CDB8F8</v>
      </c>
      <c r="B219" t="str">
        <f t="shared" si="3"/>
        <v>06363391001</v>
      </c>
      <c r="C219" t="s">
        <v>16</v>
      </c>
      <c r="D219" t="s">
        <v>459</v>
      </c>
      <c r="E219" t="s">
        <v>40</v>
      </c>
      <c r="F219" s="1" t="s">
        <v>445</v>
      </c>
      <c r="G219" t="s">
        <v>83</v>
      </c>
      <c r="H219">
        <v>35.700000000000003</v>
      </c>
      <c r="I219" s="2">
        <v>43956</v>
      </c>
      <c r="J219" s="2">
        <v>43969</v>
      </c>
      <c r="K219">
        <v>35.700000000000003</v>
      </c>
    </row>
    <row r="220" spans="1:11" ht="409.5" x14ac:dyDescent="0.25">
      <c r="A220" t="str">
        <f>"Z9A2BEB5CB"</f>
        <v>Z9A2BEB5CB</v>
      </c>
      <c r="B220" t="str">
        <f t="shared" si="3"/>
        <v>06363391001</v>
      </c>
      <c r="C220" t="s">
        <v>16</v>
      </c>
      <c r="D220" t="s">
        <v>510</v>
      </c>
      <c r="E220" t="s">
        <v>53</v>
      </c>
      <c r="F220" s="1" t="s">
        <v>511</v>
      </c>
      <c r="G220" t="s">
        <v>512</v>
      </c>
      <c r="H220">
        <v>39969.68</v>
      </c>
      <c r="I220" s="2">
        <v>43965</v>
      </c>
      <c r="J220" s="2">
        <v>44694</v>
      </c>
      <c r="K220">
        <v>16939.43</v>
      </c>
    </row>
    <row r="221" spans="1:11" ht="75" x14ac:dyDescent="0.25">
      <c r="A221" t="str">
        <f>"Z632C8B6A9"</f>
        <v>Z632C8B6A9</v>
      </c>
      <c r="B221" t="str">
        <f t="shared" si="3"/>
        <v>06363391001</v>
      </c>
      <c r="C221" t="s">
        <v>16</v>
      </c>
      <c r="D221" t="s">
        <v>513</v>
      </c>
      <c r="E221" t="s">
        <v>40</v>
      </c>
      <c r="F221" s="1" t="s">
        <v>514</v>
      </c>
      <c r="G221" t="s">
        <v>515</v>
      </c>
      <c r="H221">
        <v>22200</v>
      </c>
      <c r="I221" s="2">
        <v>43964</v>
      </c>
      <c r="J221" s="2">
        <v>44196</v>
      </c>
      <c r="K221">
        <v>22200</v>
      </c>
    </row>
    <row r="222" spans="1:11" ht="409.5" x14ac:dyDescent="0.25">
      <c r="A222" t="str">
        <f>"6562883660"</f>
        <v>6562883660</v>
      </c>
      <c r="B222" t="str">
        <f t="shared" si="3"/>
        <v>06363391001</v>
      </c>
      <c r="C222" t="s">
        <v>16</v>
      </c>
      <c r="D222" t="s">
        <v>516</v>
      </c>
      <c r="E222" t="s">
        <v>70</v>
      </c>
      <c r="F222" s="1" t="s">
        <v>517</v>
      </c>
      <c r="G222" t="s">
        <v>518</v>
      </c>
      <c r="H222">
        <v>2670785</v>
      </c>
      <c r="I222" s="2">
        <v>42697</v>
      </c>
      <c r="J222" s="2">
        <v>44096</v>
      </c>
      <c r="K222">
        <v>1826408.25</v>
      </c>
    </row>
    <row r="223" spans="1:11" ht="409.5" x14ac:dyDescent="0.25">
      <c r="A223" t="str">
        <f>"6573749D46"</f>
        <v>6573749D46</v>
      </c>
      <c r="B223" t="str">
        <f t="shared" si="3"/>
        <v>06363391001</v>
      </c>
      <c r="C223" t="s">
        <v>16</v>
      </c>
      <c r="D223" t="s">
        <v>519</v>
      </c>
      <c r="E223" t="s">
        <v>70</v>
      </c>
      <c r="F223" s="1" t="s">
        <v>520</v>
      </c>
      <c r="G223" t="s">
        <v>521</v>
      </c>
      <c r="H223">
        <v>1800000</v>
      </c>
      <c r="I223" s="2">
        <v>42705</v>
      </c>
      <c r="J223" s="2">
        <v>44340</v>
      </c>
      <c r="K223">
        <v>0</v>
      </c>
    </row>
    <row r="224" spans="1:11" ht="90" x14ac:dyDescent="0.25">
      <c r="A224" t="str">
        <f>"ZAA2CCCA63"</f>
        <v>ZAA2CCCA63</v>
      </c>
      <c r="B224" t="str">
        <f t="shared" si="3"/>
        <v>06363391001</v>
      </c>
      <c r="C224" t="s">
        <v>16</v>
      </c>
      <c r="D224" t="s">
        <v>522</v>
      </c>
      <c r="E224" t="s">
        <v>40</v>
      </c>
      <c r="F224" s="1" t="s">
        <v>523</v>
      </c>
      <c r="G224" t="s">
        <v>524</v>
      </c>
      <c r="H224">
        <v>4900</v>
      </c>
      <c r="I224" s="2">
        <v>43948</v>
      </c>
      <c r="J224" s="2">
        <v>43956</v>
      </c>
      <c r="K224">
        <v>4900</v>
      </c>
    </row>
    <row r="225" spans="1:11" ht="150" x14ac:dyDescent="0.25">
      <c r="A225" t="str">
        <f>"Z8F2CFF2DC"</f>
        <v>Z8F2CFF2DC</v>
      </c>
      <c r="B225" t="str">
        <f t="shared" si="3"/>
        <v>06363391001</v>
      </c>
      <c r="C225" t="s">
        <v>16</v>
      </c>
      <c r="D225" t="s">
        <v>525</v>
      </c>
      <c r="E225" t="s">
        <v>40</v>
      </c>
      <c r="F225" s="1" t="s">
        <v>351</v>
      </c>
      <c r="G225" t="s">
        <v>352</v>
      </c>
      <c r="H225">
        <v>519.9</v>
      </c>
      <c r="I225" s="2">
        <v>43965</v>
      </c>
      <c r="J225" s="2">
        <v>43972</v>
      </c>
      <c r="K225">
        <v>519.9</v>
      </c>
    </row>
    <row r="226" spans="1:11" ht="90" x14ac:dyDescent="0.25">
      <c r="A226" t="str">
        <f>"Z242CF79DB"</f>
        <v>Z242CF79DB</v>
      </c>
      <c r="B226" t="str">
        <f t="shared" si="3"/>
        <v>06363391001</v>
      </c>
      <c r="C226" t="s">
        <v>16</v>
      </c>
      <c r="D226" t="s">
        <v>526</v>
      </c>
      <c r="E226" t="s">
        <v>40</v>
      </c>
      <c r="F226" s="1" t="s">
        <v>527</v>
      </c>
      <c r="G226" t="s">
        <v>528</v>
      </c>
      <c r="H226">
        <v>3260</v>
      </c>
      <c r="I226" s="2">
        <v>43965</v>
      </c>
      <c r="J226" s="2">
        <v>44329</v>
      </c>
      <c r="K226">
        <v>3260</v>
      </c>
    </row>
    <row r="227" spans="1:11" ht="360" x14ac:dyDescent="0.25">
      <c r="A227" t="str">
        <f>"Z902BFC5A1"</f>
        <v>Z902BFC5A1</v>
      </c>
      <c r="B227" t="str">
        <f t="shared" si="3"/>
        <v>06363391001</v>
      </c>
      <c r="C227" t="s">
        <v>16</v>
      </c>
      <c r="D227" t="s">
        <v>529</v>
      </c>
      <c r="E227" t="s">
        <v>53</v>
      </c>
      <c r="F227" s="1" t="s">
        <v>530</v>
      </c>
      <c r="G227" t="s">
        <v>531</v>
      </c>
      <c r="H227">
        <v>3445.3</v>
      </c>
      <c r="I227" s="2">
        <v>43950</v>
      </c>
      <c r="J227" s="2">
        <v>43970</v>
      </c>
      <c r="K227">
        <v>3428.11</v>
      </c>
    </row>
    <row r="228" spans="1:11" ht="120" x14ac:dyDescent="0.25">
      <c r="A228" t="str">
        <f>"Z692C6370D"</f>
        <v>Z692C6370D</v>
      </c>
      <c r="B228" t="str">
        <f t="shared" si="3"/>
        <v>06363391001</v>
      </c>
      <c r="C228" t="s">
        <v>16</v>
      </c>
      <c r="D228" t="s">
        <v>532</v>
      </c>
      <c r="E228" t="s">
        <v>40</v>
      </c>
      <c r="F228" s="1" t="s">
        <v>533</v>
      </c>
      <c r="G228" t="s">
        <v>534</v>
      </c>
      <c r="H228">
        <v>199.9</v>
      </c>
      <c r="I228" s="2">
        <v>43902</v>
      </c>
      <c r="J228" s="2">
        <v>43980</v>
      </c>
      <c r="K228">
        <v>0</v>
      </c>
    </row>
    <row r="229" spans="1:11" ht="90" x14ac:dyDescent="0.25">
      <c r="A229" t="str">
        <f>"Z0F2D2EB85"</f>
        <v>Z0F2D2EB85</v>
      </c>
      <c r="B229" t="str">
        <f t="shared" si="3"/>
        <v>06363391001</v>
      </c>
      <c r="C229" t="s">
        <v>16</v>
      </c>
      <c r="D229" t="s">
        <v>535</v>
      </c>
      <c r="E229" t="s">
        <v>40</v>
      </c>
      <c r="F229" s="1" t="s">
        <v>536</v>
      </c>
      <c r="G229" t="s">
        <v>537</v>
      </c>
      <c r="H229">
        <v>2700</v>
      </c>
      <c r="I229" s="2">
        <v>43985</v>
      </c>
      <c r="J229" s="2">
        <v>44014</v>
      </c>
      <c r="K229">
        <v>2700</v>
      </c>
    </row>
    <row r="230" spans="1:11" ht="409.5" x14ac:dyDescent="0.25">
      <c r="A230" t="str">
        <f>"Z502CC163C"</f>
        <v>Z502CC163C</v>
      </c>
      <c r="B230" t="str">
        <f t="shared" si="3"/>
        <v>06363391001</v>
      </c>
      <c r="C230" t="s">
        <v>16</v>
      </c>
      <c r="D230" t="s">
        <v>538</v>
      </c>
      <c r="E230" t="s">
        <v>53</v>
      </c>
      <c r="F230" s="1" t="s">
        <v>539</v>
      </c>
      <c r="G230" t="s">
        <v>441</v>
      </c>
      <c r="H230">
        <v>3875</v>
      </c>
      <c r="I230" s="2">
        <v>43983</v>
      </c>
      <c r="J230" s="2">
        <v>44712</v>
      </c>
      <c r="K230">
        <v>490</v>
      </c>
    </row>
    <row r="231" spans="1:11" ht="90" x14ac:dyDescent="0.25">
      <c r="A231" t="str">
        <f>"ZF327BAD1B"</f>
        <v>ZF327BAD1B</v>
      </c>
      <c r="B231" t="str">
        <f t="shared" si="3"/>
        <v>06363391001</v>
      </c>
      <c r="C231" t="s">
        <v>16</v>
      </c>
      <c r="D231" t="s">
        <v>540</v>
      </c>
      <c r="E231" t="s">
        <v>40</v>
      </c>
      <c r="F231" s="1" t="s">
        <v>541</v>
      </c>
      <c r="G231" t="s">
        <v>542</v>
      </c>
      <c r="H231">
        <v>14483.06</v>
      </c>
      <c r="I231" s="2">
        <v>43564</v>
      </c>
      <c r="J231" s="2">
        <v>44014</v>
      </c>
      <c r="K231">
        <v>14483.06</v>
      </c>
    </row>
    <row r="232" spans="1:11" ht="409.5" x14ac:dyDescent="0.25">
      <c r="A232" t="str">
        <f>"8094867F8E"</f>
        <v>8094867F8E</v>
      </c>
      <c r="B232" t="str">
        <f t="shared" si="3"/>
        <v>06363391001</v>
      </c>
      <c r="C232" t="s">
        <v>16</v>
      </c>
      <c r="D232" t="s">
        <v>543</v>
      </c>
      <c r="E232" t="s">
        <v>70</v>
      </c>
      <c r="F232" s="1" t="s">
        <v>544</v>
      </c>
      <c r="G232" t="s">
        <v>303</v>
      </c>
      <c r="H232">
        <v>512283</v>
      </c>
      <c r="I232" s="2">
        <v>43991</v>
      </c>
      <c r="J232" s="2">
        <v>44720</v>
      </c>
      <c r="K232">
        <v>0</v>
      </c>
    </row>
    <row r="233" spans="1:11" ht="165" x14ac:dyDescent="0.25">
      <c r="A233" t="str">
        <f>"ZA62D521C0"</f>
        <v>ZA62D521C0</v>
      </c>
      <c r="B233" t="str">
        <f t="shared" si="3"/>
        <v>06363391001</v>
      </c>
      <c r="C233" t="s">
        <v>16</v>
      </c>
      <c r="D233" t="s">
        <v>545</v>
      </c>
      <c r="E233" t="s">
        <v>40</v>
      </c>
      <c r="F233" s="1" t="s">
        <v>296</v>
      </c>
      <c r="G233" t="s">
        <v>297</v>
      </c>
      <c r="H233">
        <v>400</v>
      </c>
      <c r="I233" s="2">
        <v>43973</v>
      </c>
      <c r="J233" s="2">
        <v>43973</v>
      </c>
      <c r="K233">
        <v>400</v>
      </c>
    </row>
    <row r="234" spans="1:11" ht="105" x14ac:dyDescent="0.25">
      <c r="A234" t="str">
        <f>"83434386D8"</f>
        <v>83434386D8</v>
      </c>
      <c r="B234" t="str">
        <f t="shared" si="3"/>
        <v>06363391001</v>
      </c>
      <c r="C234" t="s">
        <v>16</v>
      </c>
      <c r="D234" t="s">
        <v>546</v>
      </c>
      <c r="E234" t="s">
        <v>53</v>
      </c>
      <c r="F234" s="1" t="s">
        <v>101</v>
      </c>
      <c r="G234" t="s">
        <v>102</v>
      </c>
      <c r="H234">
        <v>49563.9</v>
      </c>
      <c r="I234" s="2">
        <v>43948</v>
      </c>
      <c r="J234" s="2">
        <v>44677</v>
      </c>
      <c r="K234">
        <v>13892.49</v>
      </c>
    </row>
    <row r="235" spans="1:11" ht="105" x14ac:dyDescent="0.25">
      <c r="A235" t="str">
        <f>"8343464C4B"</f>
        <v>8343464C4B</v>
      </c>
      <c r="B235" t="str">
        <f t="shared" si="3"/>
        <v>06363391001</v>
      </c>
      <c r="C235" t="s">
        <v>16</v>
      </c>
      <c r="D235" t="s">
        <v>546</v>
      </c>
      <c r="E235" t="s">
        <v>53</v>
      </c>
      <c r="F235" s="1" t="s">
        <v>101</v>
      </c>
      <c r="G235" t="s">
        <v>102</v>
      </c>
      <c r="H235">
        <v>49563.9</v>
      </c>
      <c r="I235" s="2">
        <v>43939</v>
      </c>
      <c r="J235" s="2">
        <v>44668</v>
      </c>
      <c r="K235">
        <v>13458.23</v>
      </c>
    </row>
    <row r="236" spans="1:11" ht="150" x14ac:dyDescent="0.25">
      <c r="A236" t="str">
        <f>"Z442D5B9C8"</f>
        <v>Z442D5B9C8</v>
      </c>
      <c r="B236" t="str">
        <f t="shared" si="3"/>
        <v>06363391001</v>
      </c>
      <c r="C236" t="s">
        <v>16</v>
      </c>
      <c r="D236" t="s">
        <v>547</v>
      </c>
      <c r="E236" t="s">
        <v>40</v>
      </c>
      <c r="F236" s="1" t="s">
        <v>351</v>
      </c>
      <c r="G236" t="s">
        <v>352</v>
      </c>
      <c r="H236">
        <v>2928.77</v>
      </c>
      <c r="I236" s="2">
        <v>44004</v>
      </c>
      <c r="J236" s="2">
        <v>44004</v>
      </c>
      <c r="K236">
        <v>2928.77</v>
      </c>
    </row>
    <row r="237" spans="1:11" ht="375" x14ac:dyDescent="0.25">
      <c r="A237" t="str">
        <f>"78121684F9"</f>
        <v>78121684F9</v>
      </c>
      <c r="B237" t="str">
        <f t="shared" si="3"/>
        <v>06363391001</v>
      </c>
      <c r="C237" t="s">
        <v>16</v>
      </c>
      <c r="D237" t="s">
        <v>548</v>
      </c>
      <c r="E237" t="s">
        <v>53</v>
      </c>
      <c r="F237" s="1" t="s">
        <v>549</v>
      </c>
      <c r="G237" t="s">
        <v>550</v>
      </c>
      <c r="H237">
        <v>170842.46</v>
      </c>
      <c r="I237" s="2">
        <v>43641</v>
      </c>
      <c r="J237" s="2">
        <v>44316</v>
      </c>
      <c r="K237">
        <v>74506.61</v>
      </c>
    </row>
    <row r="238" spans="1:11" ht="405" x14ac:dyDescent="0.25">
      <c r="A238" t="str">
        <f>"7812220FDF"</f>
        <v>7812220FDF</v>
      </c>
      <c r="B238" t="str">
        <f t="shared" si="3"/>
        <v>06363391001</v>
      </c>
      <c r="C238" t="s">
        <v>16</v>
      </c>
      <c r="D238" t="s">
        <v>551</v>
      </c>
      <c r="E238" t="s">
        <v>53</v>
      </c>
      <c r="F238" s="1" t="s">
        <v>552</v>
      </c>
      <c r="G238" t="s">
        <v>553</v>
      </c>
      <c r="H238">
        <v>54182.14</v>
      </c>
      <c r="I238" s="2">
        <v>43642</v>
      </c>
      <c r="J238" s="2">
        <v>44316</v>
      </c>
      <c r="K238">
        <v>30943.64</v>
      </c>
    </row>
    <row r="239" spans="1:11" ht="375" x14ac:dyDescent="0.25">
      <c r="A239" t="str">
        <f>"7812234B6E"</f>
        <v>7812234B6E</v>
      </c>
      <c r="B239" t="str">
        <f t="shared" si="3"/>
        <v>06363391001</v>
      </c>
      <c r="C239" t="s">
        <v>16</v>
      </c>
      <c r="D239" t="s">
        <v>554</v>
      </c>
      <c r="E239" t="s">
        <v>53</v>
      </c>
      <c r="F239" s="1" t="s">
        <v>555</v>
      </c>
      <c r="G239" t="s">
        <v>556</v>
      </c>
      <c r="H239">
        <v>210761.07</v>
      </c>
      <c r="I239" s="2">
        <v>43642</v>
      </c>
      <c r="J239" s="2">
        <v>44316</v>
      </c>
      <c r="K239">
        <v>135224</v>
      </c>
    </row>
    <row r="240" spans="1:11" ht="150" x14ac:dyDescent="0.25">
      <c r="A240" t="str">
        <f>"ZA62D5F683"</f>
        <v>ZA62D5F683</v>
      </c>
      <c r="B240" t="str">
        <f t="shared" si="3"/>
        <v>06363391001</v>
      </c>
      <c r="C240" t="s">
        <v>16</v>
      </c>
      <c r="D240" t="s">
        <v>557</v>
      </c>
      <c r="E240" t="s">
        <v>40</v>
      </c>
      <c r="F240" s="1" t="s">
        <v>351</v>
      </c>
      <c r="G240" t="s">
        <v>352</v>
      </c>
      <c r="H240">
        <v>502.57</v>
      </c>
      <c r="I240" s="2">
        <v>44008</v>
      </c>
      <c r="J240" s="2">
        <v>44011</v>
      </c>
      <c r="K240">
        <v>502.57</v>
      </c>
    </row>
    <row r="241" spans="1:11" ht="409.5" x14ac:dyDescent="0.25">
      <c r="A241" t="str">
        <f>"Z332BDFE23"</f>
        <v>Z332BDFE23</v>
      </c>
      <c r="B241" t="str">
        <f t="shared" si="3"/>
        <v>06363391001</v>
      </c>
      <c r="C241" t="s">
        <v>16</v>
      </c>
      <c r="D241" t="s">
        <v>558</v>
      </c>
      <c r="E241" t="s">
        <v>53</v>
      </c>
      <c r="F241" s="1" t="s">
        <v>559</v>
      </c>
      <c r="G241" t="s">
        <v>560</v>
      </c>
      <c r="H241">
        <v>21600</v>
      </c>
      <c r="I241" s="2">
        <v>44008</v>
      </c>
      <c r="J241" s="2">
        <v>45102</v>
      </c>
      <c r="K241">
        <v>21600</v>
      </c>
    </row>
    <row r="242" spans="1:11" ht="405" x14ac:dyDescent="0.25">
      <c r="A242" t="str">
        <f>"Z0E2AAA2AE"</f>
        <v>Z0E2AAA2AE</v>
      </c>
      <c r="B242" t="str">
        <f t="shared" si="3"/>
        <v>06363391001</v>
      </c>
      <c r="C242" t="s">
        <v>16</v>
      </c>
      <c r="D242" t="s">
        <v>561</v>
      </c>
      <c r="E242" t="s">
        <v>53</v>
      </c>
      <c r="F242" s="1" t="s">
        <v>562</v>
      </c>
      <c r="G242" t="s">
        <v>528</v>
      </c>
      <c r="H242">
        <v>14500</v>
      </c>
      <c r="I242" s="2">
        <v>43846</v>
      </c>
      <c r="J242" s="2">
        <v>44942</v>
      </c>
      <c r="K242">
        <v>14460</v>
      </c>
    </row>
    <row r="243" spans="1:11" ht="90" x14ac:dyDescent="0.25">
      <c r="A243" t="str">
        <f>"8332071281"</f>
        <v>8332071281</v>
      </c>
      <c r="B243" t="str">
        <f t="shared" si="3"/>
        <v>06363391001</v>
      </c>
      <c r="C243" t="s">
        <v>16</v>
      </c>
      <c r="D243" t="s">
        <v>563</v>
      </c>
      <c r="E243" t="s">
        <v>18</v>
      </c>
      <c r="F243" s="1" t="s">
        <v>104</v>
      </c>
      <c r="G243" t="s">
        <v>105</v>
      </c>
      <c r="H243">
        <v>0</v>
      </c>
      <c r="I243" s="2">
        <v>44044</v>
      </c>
      <c r="J243" s="2">
        <v>44530</v>
      </c>
      <c r="K243">
        <v>92826.53</v>
      </c>
    </row>
    <row r="244" spans="1:11" ht="409.5" x14ac:dyDescent="0.25">
      <c r="A244" t="str">
        <f>"7416661645"</f>
        <v>7416661645</v>
      </c>
      <c r="B244" t="str">
        <f t="shared" si="3"/>
        <v>06363391001</v>
      </c>
      <c r="C244" t="s">
        <v>16</v>
      </c>
      <c r="D244" t="s">
        <v>564</v>
      </c>
      <c r="E244" t="s">
        <v>565</v>
      </c>
      <c r="F244" s="1" t="s">
        <v>566</v>
      </c>
      <c r="G244" t="s">
        <v>567</v>
      </c>
      <c r="H244">
        <v>206243.26</v>
      </c>
      <c r="I244" s="2">
        <v>43270</v>
      </c>
      <c r="J244" s="2">
        <v>44145</v>
      </c>
      <c r="K244">
        <v>183951.53</v>
      </c>
    </row>
    <row r="245" spans="1:11" ht="409.5" x14ac:dyDescent="0.25">
      <c r="A245" t="str">
        <f>"5110100BE9"</f>
        <v>5110100BE9</v>
      </c>
      <c r="B245" t="str">
        <f t="shared" si="3"/>
        <v>06363391001</v>
      </c>
      <c r="C245" t="s">
        <v>16</v>
      </c>
      <c r="D245" t="s">
        <v>568</v>
      </c>
      <c r="E245" t="s">
        <v>467</v>
      </c>
      <c r="F245" s="1" t="s">
        <v>569</v>
      </c>
      <c r="G245" s="1" t="s">
        <v>570</v>
      </c>
      <c r="H245">
        <v>12050000</v>
      </c>
      <c r="I245" s="2">
        <v>42125</v>
      </c>
      <c r="J245" s="2">
        <v>44377</v>
      </c>
      <c r="K245">
        <v>9708419.4499999993</v>
      </c>
    </row>
    <row r="246" spans="1:11" ht="90" x14ac:dyDescent="0.25">
      <c r="A246" t="str">
        <f>"ZDB2D74B4B"</f>
        <v>ZDB2D74B4B</v>
      </c>
      <c r="B246" t="str">
        <f t="shared" si="3"/>
        <v>06363391001</v>
      </c>
      <c r="C246" t="s">
        <v>16</v>
      </c>
      <c r="D246" t="s">
        <v>571</v>
      </c>
      <c r="E246" t="s">
        <v>40</v>
      </c>
      <c r="F246" s="1" t="s">
        <v>536</v>
      </c>
      <c r="G246" t="s">
        <v>537</v>
      </c>
      <c r="H246">
        <v>750</v>
      </c>
      <c r="I246" s="2">
        <v>44015</v>
      </c>
      <c r="J246" s="2">
        <v>44022</v>
      </c>
      <c r="K246">
        <v>750</v>
      </c>
    </row>
    <row r="247" spans="1:11" ht="150" x14ac:dyDescent="0.25">
      <c r="A247" t="str">
        <f>"Z612AA521A"</f>
        <v>Z612AA521A</v>
      </c>
      <c r="B247" t="str">
        <f t="shared" si="3"/>
        <v>06363391001</v>
      </c>
      <c r="C247" t="s">
        <v>16</v>
      </c>
      <c r="D247" t="s">
        <v>572</v>
      </c>
      <c r="E247" t="s">
        <v>40</v>
      </c>
      <c r="F247" s="1" t="s">
        <v>351</v>
      </c>
      <c r="G247" t="s">
        <v>352</v>
      </c>
      <c r="H247">
        <v>3467.39</v>
      </c>
      <c r="I247" s="2">
        <v>43783</v>
      </c>
      <c r="J247" s="2">
        <v>43790</v>
      </c>
      <c r="K247">
        <v>0</v>
      </c>
    </row>
    <row r="248" spans="1:11" ht="135" x14ac:dyDescent="0.25">
      <c r="A248" t="str">
        <f>"8226687CDD"</f>
        <v>8226687CDD</v>
      </c>
      <c r="B248" t="str">
        <f t="shared" si="3"/>
        <v>06363391001</v>
      </c>
      <c r="C248" t="s">
        <v>16</v>
      </c>
      <c r="D248" t="s">
        <v>573</v>
      </c>
      <c r="E248" t="s">
        <v>18</v>
      </c>
      <c r="F248" s="1" t="s">
        <v>29</v>
      </c>
      <c r="G248" t="s">
        <v>30</v>
      </c>
      <c r="H248">
        <v>8200</v>
      </c>
      <c r="I248" s="2">
        <v>43944</v>
      </c>
      <c r="J248" s="2">
        <v>45404</v>
      </c>
      <c r="K248">
        <v>984.2</v>
      </c>
    </row>
    <row r="249" spans="1:11" ht="105" x14ac:dyDescent="0.25">
      <c r="A249" t="str">
        <f>"Z6A2D93E4A"</f>
        <v>Z6A2D93E4A</v>
      </c>
      <c r="B249" t="str">
        <f t="shared" si="3"/>
        <v>06363391001</v>
      </c>
      <c r="C249" t="s">
        <v>16</v>
      </c>
      <c r="D249" t="s">
        <v>574</v>
      </c>
      <c r="E249" t="s">
        <v>40</v>
      </c>
      <c r="F249" s="1" t="s">
        <v>575</v>
      </c>
      <c r="G249" t="s">
        <v>576</v>
      </c>
      <c r="H249">
        <v>1180.96</v>
      </c>
      <c r="I249" s="2">
        <v>44021</v>
      </c>
      <c r="J249" s="2">
        <v>44028</v>
      </c>
      <c r="K249">
        <v>968</v>
      </c>
    </row>
    <row r="250" spans="1:11" ht="345" x14ac:dyDescent="0.25">
      <c r="A250" t="str">
        <f>"Z702D9E3A5"</f>
        <v>Z702D9E3A5</v>
      </c>
      <c r="B250" t="str">
        <f t="shared" si="3"/>
        <v>06363391001</v>
      </c>
      <c r="C250" t="s">
        <v>16</v>
      </c>
      <c r="D250" t="s">
        <v>577</v>
      </c>
      <c r="E250" t="s">
        <v>40</v>
      </c>
      <c r="F250" s="1" t="s">
        <v>578</v>
      </c>
      <c r="G250" t="s">
        <v>93</v>
      </c>
      <c r="H250">
        <v>3000</v>
      </c>
      <c r="I250" s="2">
        <v>44025</v>
      </c>
      <c r="J250" s="2">
        <v>45119</v>
      </c>
      <c r="K250">
        <v>0</v>
      </c>
    </row>
    <row r="251" spans="1:11" ht="75" x14ac:dyDescent="0.25">
      <c r="A251" t="str">
        <f>"Z7E2D843C7"</f>
        <v>Z7E2D843C7</v>
      </c>
      <c r="B251" t="str">
        <f t="shared" si="3"/>
        <v>06363391001</v>
      </c>
      <c r="C251" t="s">
        <v>16</v>
      </c>
      <c r="D251" t="s">
        <v>579</v>
      </c>
      <c r="E251" t="s">
        <v>40</v>
      </c>
      <c r="F251" s="1" t="s">
        <v>580</v>
      </c>
      <c r="G251" t="s">
        <v>581</v>
      </c>
      <c r="H251">
        <v>596.82000000000005</v>
      </c>
      <c r="I251" s="2">
        <v>44029</v>
      </c>
      <c r="J251" s="2">
        <v>44036</v>
      </c>
      <c r="K251">
        <v>489.19</v>
      </c>
    </row>
    <row r="252" spans="1:11" ht="409.5" x14ac:dyDescent="0.25">
      <c r="A252" t="str">
        <f>"8149849C24"</f>
        <v>8149849C24</v>
      </c>
      <c r="B252" t="str">
        <f t="shared" si="3"/>
        <v>06363391001</v>
      </c>
      <c r="C252" t="s">
        <v>16</v>
      </c>
      <c r="D252" t="s">
        <v>582</v>
      </c>
      <c r="E252" t="s">
        <v>53</v>
      </c>
      <c r="F252" s="1" t="s">
        <v>583</v>
      </c>
      <c r="G252" t="s">
        <v>419</v>
      </c>
      <c r="H252">
        <v>150000</v>
      </c>
      <c r="I252" s="2">
        <v>43983</v>
      </c>
      <c r="J252" s="2">
        <v>44712</v>
      </c>
      <c r="K252">
        <v>3583.57</v>
      </c>
    </row>
    <row r="253" spans="1:11" ht="409.5" x14ac:dyDescent="0.25">
      <c r="A253" t="str">
        <f>"7475361F08"</f>
        <v>7475361F08</v>
      </c>
      <c r="B253" t="str">
        <f t="shared" si="3"/>
        <v>06363391001</v>
      </c>
      <c r="C253" t="s">
        <v>16</v>
      </c>
      <c r="D253" t="s">
        <v>584</v>
      </c>
      <c r="E253" t="s">
        <v>70</v>
      </c>
      <c r="F253" s="1" t="s">
        <v>585</v>
      </c>
      <c r="G253" t="s">
        <v>586</v>
      </c>
      <c r="H253">
        <v>2595799.94</v>
      </c>
      <c r="I253" s="2">
        <v>44013</v>
      </c>
      <c r="J253" s="2">
        <v>45107</v>
      </c>
      <c r="K253">
        <v>0</v>
      </c>
    </row>
    <row r="254" spans="1:11" ht="409.5" x14ac:dyDescent="0.25">
      <c r="A254" t="str">
        <f>"7475355A16"</f>
        <v>7475355A16</v>
      </c>
      <c r="B254" t="str">
        <f t="shared" si="3"/>
        <v>06363391001</v>
      </c>
      <c r="C254" t="s">
        <v>16</v>
      </c>
      <c r="D254" t="s">
        <v>587</v>
      </c>
      <c r="E254" t="s">
        <v>70</v>
      </c>
      <c r="F254" s="1" t="s">
        <v>588</v>
      </c>
      <c r="G254" t="s">
        <v>589</v>
      </c>
      <c r="H254">
        <v>2096392.16</v>
      </c>
      <c r="I254" s="2">
        <v>44013</v>
      </c>
      <c r="J254" s="2">
        <v>45107</v>
      </c>
      <c r="K254">
        <v>0</v>
      </c>
    </row>
    <row r="255" spans="1:11" ht="409.5" x14ac:dyDescent="0.25">
      <c r="A255" t="str">
        <f>"7475370678"</f>
        <v>7475370678</v>
      </c>
      <c r="B255" t="str">
        <f t="shared" si="3"/>
        <v>06363391001</v>
      </c>
      <c r="C255" t="s">
        <v>16</v>
      </c>
      <c r="D255" t="s">
        <v>590</v>
      </c>
      <c r="E255" t="s">
        <v>70</v>
      </c>
      <c r="F255" s="1" t="s">
        <v>591</v>
      </c>
      <c r="G255" s="1" t="s">
        <v>592</v>
      </c>
      <c r="H255">
        <v>1696441.02</v>
      </c>
      <c r="I255" s="2">
        <v>44013</v>
      </c>
      <c r="J255" s="2">
        <v>45107</v>
      </c>
      <c r="K255">
        <v>0</v>
      </c>
    </row>
    <row r="256" spans="1:11" ht="409.5" x14ac:dyDescent="0.25">
      <c r="A256" t="str">
        <f>"7475357BBC"</f>
        <v>7475357BBC</v>
      </c>
      <c r="B256" t="str">
        <f t="shared" si="3"/>
        <v>06363391001</v>
      </c>
      <c r="C256" t="s">
        <v>16</v>
      </c>
      <c r="D256" t="s">
        <v>593</v>
      </c>
      <c r="E256" t="s">
        <v>70</v>
      </c>
      <c r="F256" s="1" t="s">
        <v>594</v>
      </c>
      <c r="G256" t="s">
        <v>595</v>
      </c>
      <c r="H256">
        <v>2872351.04</v>
      </c>
      <c r="I256" s="2">
        <v>44013</v>
      </c>
      <c r="J256" s="2">
        <v>45107</v>
      </c>
      <c r="K256">
        <v>0</v>
      </c>
    </row>
    <row r="257" spans="1:11" ht="409.5" x14ac:dyDescent="0.25">
      <c r="A257" t="str">
        <f>"74753516CA"</f>
        <v>74753516CA</v>
      </c>
      <c r="B257" t="str">
        <f t="shared" si="3"/>
        <v>06363391001</v>
      </c>
      <c r="C257" t="s">
        <v>16</v>
      </c>
      <c r="D257" t="s">
        <v>596</v>
      </c>
      <c r="E257" t="s">
        <v>70</v>
      </c>
      <c r="F257" s="1" t="s">
        <v>597</v>
      </c>
      <c r="G257" s="1" t="s">
        <v>598</v>
      </c>
      <c r="H257">
        <v>1296262.3999999999</v>
      </c>
      <c r="I257" s="2">
        <v>44013</v>
      </c>
      <c r="J257" s="2">
        <v>45107</v>
      </c>
      <c r="K257">
        <v>0</v>
      </c>
    </row>
    <row r="258" spans="1:11" ht="409.5" x14ac:dyDescent="0.25">
      <c r="A258" t="str">
        <f>"7475325157"</f>
        <v>7475325157</v>
      </c>
      <c r="B258" t="str">
        <f t="shared" si="3"/>
        <v>06363391001</v>
      </c>
      <c r="C258" t="s">
        <v>16</v>
      </c>
      <c r="D258" t="s">
        <v>599</v>
      </c>
      <c r="E258" t="s">
        <v>70</v>
      </c>
      <c r="F258" s="1" t="s">
        <v>600</v>
      </c>
      <c r="G258" t="s">
        <v>586</v>
      </c>
      <c r="H258">
        <v>1080442.6499999999</v>
      </c>
      <c r="I258" s="2">
        <v>44043</v>
      </c>
      <c r="J258" s="2">
        <v>45137</v>
      </c>
      <c r="K258">
        <v>0</v>
      </c>
    </row>
    <row r="259" spans="1:11" ht="225" x14ac:dyDescent="0.25">
      <c r="A259" t="str">
        <f>"74753630B3"</f>
        <v>74753630B3</v>
      </c>
      <c r="B259" t="str">
        <f t="shared" ref="B259:B322" si="4">"06363391001"</f>
        <v>06363391001</v>
      </c>
      <c r="C259" t="s">
        <v>16</v>
      </c>
      <c r="D259" t="s">
        <v>601</v>
      </c>
      <c r="E259" t="s">
        <v>70</v>
      </c>
      <c r="F259" s="1" t="s">
        <v>602</v>
      </c>
      <c r="G259" t="s">
        <v>586</v>
      </c>
      <c r="H259">
        <v>676157.62</v>
      </c>
      <c r="I259" s="2">
        <v>44013</v>
      </c>
      <c r="J259" s="2">
        <v>45107</v>
      </c>
      <c r="K259">
        <v>0</v>
      </c>
    </row>
    <row r="260" spans="1:11" ht="409.5" x14ac:dyDescent="0.25">
      <c r="A260" t="str">
        <f>"7475301D85"</f>
        <v>7475301D85</v>
      </c>
      <c r="B260" t="str">
        <f t="shared" si="4"/>
        <v>06363391001</v>
      </c>
      <c r="C260" t="s">
        <v>16</v>
      </c>
      <c r="D260" t="s">
        <v>603</v>
      </c>
      <c r="E260" t="s">
        <v>70</v>
      </c>
      <c r="F260" s="1" t="s">
        <v>604</v>
      </c>
      <c r="G260" s="1" t="s">
        <v>605</v>
      </c>
      <c r="H260">
        <v>1295676.8</v>
      </c>
      <c r="I260" s="2">
        <v>44043</v>
      </c>
      <c r="J260" s="2">
        <v>45137</v>
      </c>
      <c r="K260">
        <v>0</v>
      </c>
    </row>
    <row r="261" spans="1:11" ht="409.5" x14ac:dyDescent="0.25">
      <c r="A261" t="str">
        <f>"7475331649"</f>
        <v>7475331649</v>
      </c>
      <c r="B261" t="str">
        <f t="shared" si="4"/>
        <v>06363391001</v>
      </c>
      <c r="C261" t="s">
        <v>16</v>
      </c>
      <c r="D261" t="s">
        <v>606</v>
      </c>
      <c r="E261" t="s">
        <v>70</v>
      </c>
      <c r="F261" s="1" t="s">
        <v>607</v>
      </c>
      <c r="G261" s="1" t="s">
        <v>608</v>
      </c>
      <c r="H261">
        <v>512912.12</v>
      </c>
      <c r="I261" s="2">
        <v>44043</v>
      </c>
      <c r="J261" s="2">
        <v>45137</v>
      </c>
      <c r="K261">
        <v>0</v>
      </c>
    </row>
    <row r="262" spans="1:11" ht="409.5" x14ac:dyDescent="0.25">
      <c r="A262" t="str">
        <f>"7475344105"</f>
        <v>7475344105</v>
      </c>
      <c r="B262" t="str">
        <f t="shared" si="4"/>
        <v>06363391001</v>
      </c>
      <c r="C262" t="s">
        <v>16</v>
      </c>
      <c r="D262" t="s">
        <v>609</v>
      </c>
      <c r="E262" t="s">
        <v>70</v>
      </c>
      <c r="F262" s="1" t="s">
        <v>610</v>
      </c>
      <c r="G262" s="1" t="s">
        <v>611</v>
      </c>
      <c r="H262">
        <v>417647.24</v>
      </c>
      <c r="I262" s="2">
        <v>44013</v>
      </c>
      <c r="J262" s="2">
        <v>45107</v>
      </c>
      <c r="K262">
        <v>0</v>
      </c>
    </row>
    <row r="263" spans="1:11" ht="409.5" x14ac:dyDescent="0.25">
      <c r="A263" t="str">
        <f>"7475336A68"</f>
        <v>7475336A68</v>
      </c>
      <c r="B263" t="str">
        <f t="shared" si="4"/>
        <v>06363391001</v>
      </c>
      <c r="C263" t="s">
        <v>16</v>
      </c>
      <c r="D263" t="s">
        <v>612</v>
      </c>
      <c r="E263" t="s">
        <v>70</v>
      </c>
      <c r="F263" s="1" t="s">
        <v>613</v>
      </c>
      <c r="G263" t="s">
        <v>614</v>
      </c>
      <c r="H263">
        <v>309954.14</v>
      </c>
      <c r="I263" s="2">
        <v>44043</v>
      </c>
      <c r="J263" s="2">
        <v>45137</v>
      </c>
      <c r="K263">
        <v>0</v>
      </c>
    </row>
    <row r="264" spans="1:11" ht="409.5" x14ac:dyDescent="0.25">
      <c r="A264" t="str">
        <f>"747534737E"</f>
        <v>747534737E</v>
      </c>
      <c r="B264" t="str">
        <f t="shared" si="4"/>
        <v>06363391001</v>
      </c>
      <c r="C264" t="s">
        <v>16</v>
      </c>
      <c r="D264" t="s">
        <v>615</v>
      </c>
      <c r="E264" t="s">
        <v>70</v>
      </c>
      <c r="F264" s="1" t="s">
        <v>616</v>
      </c>
      <c r="G264" t="s">
        <v>614</v>
      </c>
      <c r="H264">
        <v>1187252.72</v>
      </c>
      <c r="I264" s="2">
        <v>44043</v>
      </c>
      <c r="J264" s="2">
        <v>45137</v>
      </c>
      <c r="K264">
        <v>0</v>
      </c>
    </row>
    <row r="265" spans="1:11" ht="409.5" x14ac:dyDescent="0.25">
      <c r="A265" t="str">
        <f>"74753115C8"</f>
        <v>74753115C8</v>
      </c>
      <c r="B265" t="str">
        <f t="shared" si="4"/>
        <v>06363391001</v>
      </c>
      <c r="C265" t="s">
        <v>16</v>
      </c>
      <c r="D265" t="s">
        <v>617</v>
      </c>
      <c r="E265" t="s">
        <v>70</v>
      </c>
      <c r="F265" s="1" t="s">
        <v>618</v>
      </c>
      <c r="G265" t="s">
        <v>614</v>
      </c>
      <c r="H265">
        <v>421197.38</v>
      </c>
      <c r="I265" s="2">
        <v>44043</v>
      </c>
      <c r="J265" s="2">
        <v>45137</v>
      </c>
      <c r="K265">
        <v>0</v>
      </c>
    </row>
    <row r="266" spans="1:11" ht="409.5" x14ac:dyDescent="0.25">
      <c r="A266" t="str">
        <f>"74753684D2"</f>
        <v>74753684D2</v>
      </c>
      <c r="B266" t="str">
        <f t="shared" si="4"/>
        <v>06363391001</v>
      </c>
      <c r="C266" t="s">
        <v>16</v>
      </c>
      <c r="D266" t="s">
        <v>619</v>
      </c>
      <c r="E266" t="s">
        <v>70</v>
      </c>
      <c r="F266" s="1" t="s">
        <v>620</v>
      </c>
      <c r="G266" s="1" t="s">
        <v>621</v>
      </c>
      <c r="H266">
        <v>314417.64</v>
      </c>
      <c r="I266" s="2">
        <v>44044</v>
      </c>
      <c r="J266" s="2">
        <v>45138</v>
      </c>
      <c r="K266">
        <v>0</v>
      </c>
    </row>
    <row r="267" spans="1:11" ht="105" x14ac:dyDescent="0.25">
      <c r="A267" t="str">
        <f>"ZDC2DBEEE9"</f>
        <v>ZDC2DBEEE9</v>
      </c>
      <c r="B267" t="str">
        <f t="shared" si="4"/>
        <v>06363391001</v>
      </c>
      <c r="C267" t="s">
        <v>16</v>
      </c>
      <c r="D267" t="s">
        <v>622</v>
      </c>
      <c r="E267" t="s">
        <v>40</v>
      </c>
      <c r="F267" s="1" t="s">
        <v>623</v>
      </c>
      <c r="G267" t="s">
        <v>389</v>
      </c>
      <c r="H267">
        <v>1000</v>
      </c>
      <c r="I267" s="2">
        <v>44035</v>
      </c>
      <c r="J267" s="2">
        <v>44764</v>
      </c>
      <c r="K267">
        <v>299.5</v>
      </c>
    </row>
    <row r="268" spans="1:11" ht="165" x14ac:dyDescent="0.25">
      <c r="A268" t="str">
        <f>"Z672D64D76"</f>
        <v>Z672D64D76</v>
      </c>
      <c r="B268" t="str">
        <f t="shared" si="4"/>
        <v>06363391001</v>
      </c>
      <c r="C268" t="s">
        <v>16</v>
      </c>
      <c r="D268" t="s">
        <v>624</v>
      </c>
      <c r="E268" t="s">
        <v>40</v>
      </c>
      <c r="F268" s="1" t="s">
        <v>625</v>
      </c>
      <c r="G268" t="s">
        <v>172</v>
      </c>
      <c r="H268">
        <v>1650</v>
      </c>
      <c r="I268" s="2">
        <v>44007</v>
      </c>
      <c r="J268" s="2">
        <v>44189</v>
      </c>
      <c r="K268">
        <v>1650</v>
      </c>
    </row>
    <row r="269" spans="1:11" ht="165" x14ac:dyDescent="0.25">
      <c r="A269" t="str">
        <f>"Z782C9F70D"</f>
        <v>Z782C9F70D</v>
      </c>
      <c r="B269" t="str">
        <f t="shared" si="4"/>
        <v>06363391001</v>
      </c>
      <c r="C269" t="s">
        <v>16</v>
      </c>
      <c r="D269" t="s">
        <v>626</v>
      </c>
      <c r="E269" t="s">
        <v>40</v>
      </c>
      <c r="F269" s="1" t="s">
        <v>625</v>
      </c>
      <c r="G269" t="s">
        <v>172</v>
      </c>
      <c r="H269">
        <v>4300</v>
      </c>
      <c r="I269" s="2">
        <v>43889</v>
      </c>
      <c r="J269" s="2">
        <v>44074</v>
      </c>
      <c r="K269">
        <v>4300</v>
      </c>
    </row>
    <row r="270" spans="1:11" ht="409.5" x14ac:dyDescent="0.25">
      <c r="A270" t="str">
        <f>"5866034464"</f>
        <v>5866034464</v>
      </c>
      <c r="B270" t="str">
        <f t="shared" si="4"/>
        <v>06363391001</v>
      </c>
      <c r="C270" t="s">
        <v>16</v>
      </c>
      <c r="D270" t="s">
        <v>627</v>
      </c>
      <c r="E270" t="s">
        <v>70</v>
      </c>
      <c r="F270" s="1" t="s">
        <v>628</v>
      </c>
      <c r="G270" t="s">
        <v>629</v>
      </c>
      <c r="H270">
        <v>5664409.8399999999</v>
      </c>
      <c r="I270" s="2">
        <v>42515</v>
      </c>
      <c r="J270" s="2">
        <v>44408</v>
      </c>
      <c r="K270">
        <v>0</v>
      </c>
    </row>
    <row r="271" spans="1:11" ht="409.5" x14ac:dyDescent="0.25">
      <c r="A271" t="str">
        <f>"58660387B0"</f>
        <v>58660387B0</v>
      </c>
      <c r="B271" t="str">
        <f t="shared" si="4"/>
        <v>06363391001</v>
      </c>
      <c r="C271" t="s">
        <v>16</v>
      </c>
      <c r="D271" t="s">
        <v>630</v>
      </c>
      <c r="E271" t="s">
        <v>70</v>
      </c>
      <c r="F271" s="1" t="s">
        <v>631</v>
      </c>
      <c r="G271" s="1" t="s">
        <v>632</v>
      </c>
      <c r="H271">
        <v>12971116.300000001</v>
      </c>
      <c r="I271" s="2">
        <v>42474</v>
      </c>
      <c r="J271" s="2">
        <v>44408</v>
      </c>
      <c r="K271">
        <v>0</v>
      </c>
    </row>
    <row r="272" spans="1:11" ht="409.5" x14ac:dyDescent="0.25">
      <c r="A272" t="str">
        <f>"5866041A29"</f>
        <v>5866041A29</v>
      </c>
      <c r="B272" t="str">
        <f t="shared" si="4"/>
        <v>06363391001</v>
      </c>
      <c r="C272" t="s">
        <v>16</v>
      </c>
      <c r="D272" t="s">
        <v>633</v>
      </c>
      <c r="E272" t="s">
        <v>70</v>
      </c>
      <c r="F272" s="1" t="s">
        <v>634</v>
      </c>
      <c r="G272" t="s">
        <v>635</v>
      </c>
      <c r="H272">
        <v>9992805.7899999991</v>
      </c>
      <c r="I272" s="2">
        <v>42467</v>
      </c>
      <c r="J272" s="2">
        <v>44408</v>
      </c>
      <c r="K272">
        <v>0</v>
      </c>
    </row>
    <row r="273" spans="1:11" ht="409.5" x14ac:dyDescent="0.25">
      <c r="A273" t="str">
        <f>"5866048FEE"</f>
        <v>5866048FEE</v>
      </c>
      <c r="B273" t="str">
        <f t="shared" si="4"/>
        <v>06363391001</v>
      </c>
      <c r="C273" t="s">
        <v>16</v>
      </c>
      <c r="D273" t="s">
        <v>636</v>
      </c>
      <c r="E273" t="s">
        <v>70</v>
      </c>
      <c r="F273" s="1" t="s">
        <v>637</v>
      </c>
      <c r="G273" t="s">
        <v>635</v>
      </c>
      <c r="H273">
        <v>7383612.4500000002</v>
      </c>
      <c r="I273" s="2">
        <v>42444</v>
      </c>
      <c r="J273" s="2">
        <v>44408</v>
      </c>
      <c r="K273">
        <v>0</v>
      </c>
    </row>
    <row r="274" spans="1:11" ht="409.5" x14ac:dyDescent="0.25">
      <c r="A274" t="str">
        <f>"5866079985"</f>
        <v>5866079985</v>
      </c>
      <c r="B274" t="str">
        <f t="shared" si="4"/>
        <v>06363391001</v>
      </c>
      <c r="C274" t="s">
        <v>16</v>
      </c>
      <c r="D274" t="s">
        <v>638</v>
      </c>
      <c r="E274" t="s">
        <v>70</v>
      </c>
      <c r="F274" s="1" t="s">
        <v>639</v>
      </c>
      <c r="G274" t="s">
        <v>635</v>
      </c>
      <c r="H274">
        <v>12676372.68</v>
      </c>
      <c r="I274" s="2">
        <v>42444</v>
      </c>
      <c r="J274" s="2">
        <v>44408</v>
      </c>
      <c r="K274">
        <v>1869117.82</v>
      </c>
    </row>
    <row r="275" spans="1:11" ht="409.5" x14ac:dyDescent="0.25">
      <c r="A275" t="str">
        <f>"586605126C"</f>
        <v>586605126C</v>
      </c>
      <c r="B275" t="str">
        <f t="shared" si="4"/>
        <v>06363391001</v>
      </c>
      <c r="C275" t="s">
        <v>16</v>
      </c>
      <c r="D275" t="s">
        <v>640</v>
      </c>
      <c r="E275" t="s">
        <v>70</v>
      </c>
      <c r="F275" s="1" t="s">
        <v>641</v>
      </c>
      <c r="G275" s="1" t="s">
        <v>642</v>
      </c>
      <c r="H275">
        <v>4043897.43</v>
      </c>
      <c r="I275" s="2">
        <v>42479</v>
      </c>
      <c r="J275" s="2">
        <v>44408</v>
      </c>
      <c r="K275">
        <v>0</v>
      </c>
    </row>
    <row r="276" spans="1:11" ht="409.5" x14ac:dyDescent="0.25">
      <c r="A276" t="str">
        <f>"5866080A58"</f>
        <v>5866080A58</v>
      </c>
      <c r="B276" t="str">
        <f t="shared" si="4"/>
        <v>06363391001</v>
      </c>
      <c r="C276" t="s">
        <v>16</v>
      </c>
      <c r="D276" t="s">
        <v>643</v>
      </c>
      <c r="E276" t="s">
        <v>70</v>
      </c>
      <c r="F276" s="1" t="s">
        <v>644</v>
      </c>
      <c r="G276" t="s">
        <v>508</v>
      </c>
      <c r="H276">
        <v>6390264.1799999997</v>
      </c>
      <c r="I276" s="2">
        <v>42844</v>
      </c>
      <c r="J276" s="2">
        <v>44408</v>
      </c>
      <c r="K276">
        <v>0</v>
      </c>
    </row>
    <row r="277" spans="1:11" ht="409.5" x14ac:dyDescent="0.25">
      <c r="A277" t="str">
        <f>"5866085E77"</f>
        <v>5866085E77</v>
      </c>
      <c r="B277" t="str">
        <f t="shared" si="4"/>
        <v>06363391001</v>
      </c>
      <c r="C277" t="s">
        <v>16</v>
      </c>
      <c r="D277" t="s">
        <v>645</v>
      </c>
      <c r="E277" t="s">
        <v>70</v>
      </c>
      <c r="F277" s="1" t="s">
        <v>646</v>
      </c>
      <c r="G277" s="1" t="s">
        <v>647</v>
      </c>
      <c r="H277">
        <v>5390032.71</v>
      </c>
      <c r="I277" s="2">
        <v>42391</v>
      </c>
      <c r="J277" s="2">
        <v>44408</v>
      </c>
      <c r="K277">
        <v>4038644.09</v>
      </c>
    </row>
    <row r="278" spans="1:11" ht="409.5" x14ac:dyDescent="0.25">
      <c r="A278" t="str">
        <f>"586609029B"</f>
        <v>586609029B</v>
      </c>
      <c r="B278" t="str">
        <f t="shared" si="4"/>
        <v>06363391001</v>
      </c>
      <c r="C278" t="s">
        <v>16</v>
      </c>
      <c r="D278" t="s">
        <v>648</v>
      </c>
      <c r="E278" t="s">
        <v>70</v>
      </c>
      <c r="F278" s="1" t="s">
        <v>649</v>
      </c>
      <c r="G278" s="1" t="s">
        <v>650</v>
      </c>
      <c r="H278">
        <v>7699296.5800000001</v>
      </c>
      <c r="I278" s="2">
        <v>42474</v>
      </c>
      <c r="J278" s="2">
        <v>44408</v>
      </c>
      <c r="K278">
        <v>0</v>
      </c>
    </row>
    <row r="279" spans="1:11" ht="409.5" x14ac:dyDescent="0.25">
      <c r="A279" t="str">
        <f>"5866080A58"</f>
        <v>5866080A58</v>
      </c>
      <c r="B279" t="str">
        <f t="shared" si="4"/>
        <v>06363391001</v>
      </c>
      <c r="C279" t="s">
        <v>16</v>
      </c>
      <c r="D279" t="s">
        <v>651</v>
      </c>
      <c r="E279" t="s">
        <v>70</v>
      </c>
      <c r="F279" s="1" t="s">
        <v>652</v>
      </c>
      <c r="G279" s="1" t="s">
        <v>647</v>
      </c>
      <c r="H279">
        <v>2227724.88</v>
      </c>
      <c r="I279" s="2">
        <v>42454</v>
      </c>
      <c r="J279" s="2">
        <v>44408</v>
      </c>
      <c r="K279">
        <v>0</v>
      </c>
    </row>
    <row r="280" spans="1:11" ht="180" x14ac:dyDescent="0.25">
      <c r="A280" t="str">
        <f>"6938836C99"</f>
        <v>6938836C99</v>
      </c>
      <c r="B280" t="str">
        <f t="shared" si="4"/>
        <v>06363391001</v>
      </c>
      <c r="C280" t="s">
        <v>16</v>
      </c>
      <c r="D280" t="s">
        <v>653</v>
      </c>
      <c r="E280" t="s">
        <v>53</v>
      </c>
      <c r="F280" s="1" t="s">
        <v>654</v>
      </c>
      <c r="G280" t="s">
        <v>655</v>
      </c>
      <c r="H280">
        <v>200000</v>
      </c>
      <c r="I280" s="2">
        <v>42761</v>
      </c>
      <c r="J280" s="2">
        <v>44165</v>
      </c>
      <c r="K280">
        <v>162567.5</v>
      </c>
    </row>
    <row r="281" spans="1:11" ht="105" x14ac:dyDescent="0.25">
      <c r="A281" t="str">
        <f>"ZC62C92B8C"</f>
        <v>ZC62C92B8C</v>
      </c>
      <c r="B281" t="str">
        <f t="shared" si="4"/>
        <v>06363391001</v>
      </c>
      <c r="C281" t="s">
        <v>16</v>
      </c>
      <c r="D281" t="s">
        <v>656</v>
      </c>
      <c r="E281" t="s">
        <v>40</v>
      </c>
      <c r="F281" s="1" t="s">
        <v>657</v>
      </c>
      <c r="G281" t="s">
        <v>658</v>
      </c>
      <c r="H281">
        <v>5000</v>
      </c>
      <c r="I281" s="2">
        <v>43922</v>
      </c>
      <c r="J281" s="2">
        <v>44286</v>
      </c>
      <c r="K281">
        <v>1285</v>
      </c>
    </row>
    <row r="282" spans="1:11" ht="105" x14ac:dyDescent="0.25">
      <c r="A282" t="str">
        <f>"ZCE2C92BBE"</f>
        <v>ZCE2C92BBE</v>
      </c>
      <c r="B282" t="str">
        <f t="shared" si="4"/>
        <v>06363391001</v>
      </c>
      <c r="C282" t="s">
        <v>16</v>
      </c>
      <c r="D282" t="s">
        <v>659</v>
      </c>
      <c r="E282" t="s">
        <v>40</v>
      </c>
      <c r="F282" s="1" t="s">
        <v>660</v>
      </c>
      <c r="G282" t="s">
        <v>661</v>
      </c>
      <c r="H282">
        <v>5000</v>
      </c>
      <c r="I282" s="2">
        <v>43922</v>
      </c>
      <c r="J282" s="2">
        <v>44286</v>
      </c>
      <c r="K282">
        <v>0</v>
      </c>
    </row>
    <row r="283" spans="1:11" ht="105" x14ac:dyDescent="0.25">
      <c r="A283" t="str">
        <f>"Z852C92BAD"</f>
        <v>Z852C92BAD</v>
      </c>
      <c r="B283" t="str">
        <f t="shared" si="4"/>
        <v>06363391001</v>
      </c>
      <c r="C283" t="s">
        <v>16</v>
      </c>
      <c r="D283" t="s">
        <v>662</v>
      </c>
      <c r="E283" t="s">
        <v>40</v>
      </c>
      <c r="F283" s="1" t="s">
        <v>663</v>
      </c>
      <c r="G283" t="s">
        <v>664</v>
      </c>
      <c r="H283">
        <v>5000</v>
      </c>
      <c r="I283" s="2">
        <v>43922</v>
      </c>
      <c r="J283" s="2">
        <v>44286</v>
      </c>
      <c r="K283">
        <v>0</v>
      </c>
    </row>
    <row r="284" spans="1:11" ht="409.5" x14ac:dyDescent="0.25">
      <c r="A284" t="str">
        <f>"526938955C"</f>
        <v>526938955C</v>
      </c>
      <c r="B284" t="str">
        <f t="shared" si="4"/>
        <v>06363391001</v>
      </c>
      <c r="C284" t="s">
        <v>16</v>
      </c>
      <c r="D284" t="s">
        <v>665</v>
      </c>
      <c r="E284" t="s">
        <v>70</v>
      </c>
      <c r="F284" s="1" t="s">
        <v>666</v>
      </c>
      <c r="G284" t="s">
        <v>655</v>
      </c>
      <c r="H284">
        <v>90651082.349999994</v>
      </c>
      <c r="I284" s="2">
        <v>42579</v>
      </c>
      <c r="J284" s="2">
        <v>44404</v>
      </c>
      <c r="K284">
        <v>24204039</v>
      </c>
    </row>
    <row r="285" spans="1:11" ht="409.5" x14ac:dyDescent="0.25">
      <c r="A285" t="str">
        <f>"526939497B"</f>
        <v>526939497B</v>
      </c>
      <c r="B285" t="str">
        <f t="shared" si="4"/>
        <v>06363391001</v>
      </c>
      <c r="C285" t="s">
        <v>16</v>
      </c>
      <c r="D285" t="s">
        <v>667</v>
      </c>
      <c r="E285" t="s">
        <v>70</v>
      </c>
      <c r="F285" s="1" t="s">
        <v>668</v>
      </c>
      <c r="G285" t="s">
        <v>655</v>
      </c>
      <c r="H285">
        <v>58683848.539999999</v>
      </c>
      <c r="I285" s="2">
        <v>42579</v>
      </c>
      <c r="J285" s="2">
        <v>44404</v>
      </c>
      <c r="K285">
        <v>18612880.370000001</v>
      </c>
    </row>
    <row r="286" spans="1:11" ht="409.5" x14ac:dyDescent="0.25">
      <c r="A286" t="str">
        <f>"5269398CC7"</f>
        <v>5269398CC7</v>
      </c>
      <c r="B286" t="str">
        <f t="shared" si="4"/>
        <v>06363391001</v>
      </c>
      <c r="C286" t="s">
        <v>16</v>
      </c>
      <c r="D286" t="s">
        <v>669</v>
      </c>
      <c r="E286" t="s">
        <v>70</v>
      </c>
      <c r="F286" s="1" t="s">
        <v>670</v>
      </c>
      <c r="G286" s="1" t="s">
        <v>671</v>
      </c>
      <c r="H286">
        <v>101667468</v>
      </c>
      <c r="I286" s="2">
        <v>42677</v>
      </c>
      <c r="J286" s="2">
        <v>44404</v>
      </c>
      <c r="K286">
        <v>28846076.899999999</v>
      </c>
    </row>
    <row r="287" spans="1:11" ht="409.5" x14ac:dyDescent="0.25">
      <c r="A287" t="str">
        <f>"666110019D"</f>
        <v>666110019D</v>
      </c>
      <c r="B287" t="str">
        <f t="shared" si="4"/>
        <v>06363391001</v>
      </c>
      <c r="C287" t="s">
        <v>16</v>
      </c>
      <c r="D287" t="s">
        <v>672</v>
      </c>
      <c r="E287" t="s">
        <v>70</v>
      </c>
      <c r="F287" s="1" t="s">
        <v>673</v>
      </c>
      <c r="G287" t="s">
        <v>674</v>
      </c>
      <c r="H287">
        <v>197515.8</v>
      </c>
      <c r="I287" s="2">
        <v>42773</v>
      </c>
      <c r="J287" s="2">
        <v>44233</v>
      </c>
      <c r="K287">
        <v>172772.59</v>
      </c>
    </row>
    <row r="288" spans="1:11" ht="409.5" x14ac:dyDescent="0.25">
      <c r="A288" t="str">
        <f>"7438918554"</f>
        <v>7438918554</v>
      </c>
      <c r="B288" t="str">
        <f t="shared" si="4"/>
        <v>06363391001</v>
      </c>
      <c r="C288" t="s">
        <v>16</v>
      </c>
      <c r="D288" t="s">
        <v>675</v>
      </c>
      <c r="E288" t="s">
        <v>53</v>
      </c>
      <c r="F288" s="1" t="s">
        <v>676</v>
      </c>
      <c r="G288" t="s">
        <v>677</v>
      </c>
      <c r="H288">
        <v>78159.600000000006</v>
      </c>
      <c r="I288" s="2">
        <v>43311</v>
      </c>
      <c r="J288" s="2">
        <v>44316</v>
      </c>
      <c r="K288">
        <v>55680.08</v>
      </c>
    </row>
    <row r="289" spans="1:11" ht="120" x14ac:dyDescent="0.25">
      <c r="A289" t="str">
        <f>"ZC02DCA2A2"</f>
        <v>ZC02DCA2A2</v>
      </c>
      <c r="B289" t="str">
        <f t="shared" si="4"/>
        <v>06363391001</v>
      </c>
      <c r="C289" t="s">
        <v>16</v>
      </c>
      <c r="D289" t="s">
        <v>678</v>
      </c>
      <c r="E289" t="s">
        <v>40</v>
      </c>
      <c r="F289" s="1" t="s">
        <v>679</v>
      </c>
      <c r="G289" t="s">
        <v>680</v>
      </c>
      <c r="H289">
        <v>5000</v>
      </c>
      <c r="I289" s="2">
        <v>44039</v>
      </c>
      <c r="J289" s="2">
        <v>44403</v>
      </c>
      <c r="K289">
        <v>0</v>
      </c>
    </row>
    <row r="290" spans="1:11" ht="75" x14ac:dyDescent="0.25">
      <c r="A290" t="str">
        <f>"Z7A2DCA265"</f>
        <v>Z7A2DCA265</v>
      </c>
      <c r="B290" t="str">
        <f t="shared" si="4"/>
        <v>06363391001</v>
      </c>
      <c r="C290" t="s">
        <v>16</v>
      </c>
      <c r="D290" t="s">
        <v>681</v>
      </c>
      <c r="E290" t="s">
        <v>40</v>
      </c>
      <c r="F290" s="1" t="s">
        <v>682</v>
      </c>
      <c r="G290" t="s">
        <v>683</v>
      </c>
      <c r="H290">
        <v>2100</v>
      </c>
      <c r="I290" s="2">
        <v>44039</v>
      </c>
      <c r="J290" s="2">
        <v>44070</v>
      </c>
      <c r="K290">
        <v>1800</v>
      </c>
    </row>
    <row r="291" spans="1:11" ht="90" x14ac:dyDescent="0.25">
      <c r="A291" t="str">
        <f>"Z672DCD915"</f>
        <v>Z672DCD915</v>
      </c>
      <c r="B291" t="str">
        <f t="shared" si="4"/>
        <v>06363391001</v>
      </c>
      <c r="C291" t="s">
        <v>16</v>
      </c>
      <c r="D291" t="s">
        <v>684</v>
      </c>
      <c r="E291" t="s">
        <v>40</v>
      </c>
      <c r="F291" s="1" t="s">
        <v>685</v>
      </c>
      <c r="G291" t="s">
        <v>686</v>
      </c>
      <c r="H291">
        <v>4950</v>
      </c>
      <c r="I291" s="2">
        <v>44042</v>
      </c>
      <c r="J291" s="2">
        <v>44063</v>
      </c>
      <c r="K291">
        <v>4950</v>
      </c>
    </row>
    <row r="292" spans="1:11" ht="120" x14ac:dyDescent="0.25">
      <c r="A292" t="str">
        <f>"5688171B31"</f>
        <v>5688171B31</v>
      </c>
      <c r="B292" t="str">
        <f t="shared" si="4"/>
        <v>06363391001</v>
      </c>
      <c r="C292" t="s">
        <v>16</v>
      </c>
      <c r="D292" t="s">
        <v>687</v>
      </c>
      <c r="E292" t="s">
        <v>70</v>
      </c>
      <c r="F292" s="1" t="s">
        <v>688</v>
      </c>
      <c r="G292" t="s">
        <v>689</v>
      </c>
      <c r="H292">
        <v>4900000</v>
      </c>
      <c r="I292" s="2">
        <v>42403</v>
      </c>
      <c r="J292" s="2">
        <v>44229</v>
      </c>
      <c r="K292">
        <v>0</v>
      </c>
    </row>
    <row r="293" spans="1:11" ht="120" x14ac:dyDescent="0.25">
      <c r="A293" t="str">
        <f>"5688186793"</f>
        <v>5688186793</v>
      </c>
      <c r="B293" t="str">
        <f t="shared" si="4"/>
        <v>06363391001</v>
      </c>
      <c r="C293" t="s">
        <v>16</v>
      </c>
      <c r="D293" t="s">
        <v>690</v>
      </c>
      <c r="E293" t="s">
        <v>70</v>
      </c>
      <c r="F293" s="1" t="s">
        <v>688</v>
      </c>
      <c r="G293" t="s">
        <v>689</v>
      </c>
      <c r="H293">
        <v>4300000</v>
      </c>
      <c r="I293" s="2">
        <v>42403</v>
      </c>
      <c r="J293" s="2">
        <v>44229</v>
      </c>
      <c r="K293">
        <v>0</v>
      </c>
    </row>
    <row r="294" spans="1:11" ht="120" x14ac:dyDescent="0.25">
      <c r="A294" t="str">
        <f>"5688191BB2"</f>
        <v>5688191BB2</v>
      </c>
      <c r="B294" t="str">
        <f t="shared" si="4"/>
        <v>06363391001</v>
      </c>
      <c r="C294" t="s">
        <v>16</v>
      </c>
      <c r="D294" t="s">
        <v>691</v>
      </c>
      <c r="E294" t="s">
        <v>70</v>
      </c>
      <c r="F294" s="1" t="s">
        <v>688</v>
      </c>
      <c r="G294" t="s">
        <v>689</v>
      </c>
      <c r="H294">
        <v>3800000</v>
      </c>
      <c r="I294" s="2">
        <v>43864</v>
      </c>
      <c r="J294" s="2">
        <v>44229</v>
      </c>
      <c r="K294">
        <v>0</v>
      </c>
    </row>
    <row r="295" spans="1:11" ht="409.5" x14ac:dyDescent="0.25">
      <c r="A295" t="str">
        <f>"7952280D0B"</f>
        <v>7952280D0B</v>
      </c>
      <c r="B295" t="str">
        <f t="shared" si="4"/>
        <v>06363391001</v>
      </c>
      <c r="C295" t="s">
        <v>16</v>
      </c>
      <c r="D295" t="s">
        <v>692</v>
      </c>
      <c r="E295" t="s">
        <v>53</v>
      </c>
      <c r="F295" s="1" t="s">
        <v>693</v>
      </c>
      <c r="G295" t="s">
        <v>694</v>
      </c>
      <c r="H295">
        <v>138045.26</v>
      </c>
      <c r="I295" s="2">
        <v>43818</v>
      </c>
      <c r="J295" s="2">
        <v>44062</v>
      </c>
      <c r="K295">
        <v>138045.26</v>
      </c>
    </row>
    <row r="296" spans="1:11" ht="90" x14ac:dyDescent="0.25">
      <c r="A296" t="str">
        <f>"8199740F7E"</f>
        <v>8199740F7E</v>
      </c>
      <c r="B296" t="str">
        <f t="shared" si="4"/>
        <v>06363391001</v>
      </c>
      <c r="C296" t="s">
        <v>16</v>
      </c>
      <c r="D296" t="s">
        <v>695</v>
      </c>
      <c r="E296" t="s">
        <v>18</v>
      </c>
      <c r="F296" s="1" t="s">
        <v>116</v>
      </c>
      <c r="G296" t="s">
        <v>117</v>
      </c>
      <c r="H296">
        <v>14304</v>
      </c>
      <c r="I296" s="2">
        <v>43949</v>
      </c>
      <c r="J296" s="2">
        <v>45410</v>
      </c>
      <c r="K296">
        <v>1605.34</v>
      </c>
    </row>
    <row r="297" spans="1:11" ht="90" x14ac:dyDescent="0.25">
      <c r="A297" t="str">
        <f>"Z162DB3FF7"</f>
        <v>Z162DB3FF7</v>
      </c>
      <c r="B297" t="str">
        <f t="shared" si="4"/>
        <v>06363391001</v>
      </c>
      <c r="C297" t="s">
        <v>16</v>
      </c>
      <c r="D297" t="s">
        <v>696</v>
      </c>
      <c r="E297" t="s">
        <v>40</v>
      </c>
      <c r="F297" s="1" t="s">
        <v>697</v>
      </c>
      <c r="G297" t="s">
        <v>698</v>
      </c>
      <c r="H297">
        <v>2680</v>
      </c>
      <c r="I297" s="2">
        <v>44029</v>
      </c>
      <c r="J297" s="2">
        <v>44047</v>
      </c>
      <c r="K297">
        <v>2680</v>
      </c>
    </row>
    <row r="298" spans="1:11" ht="120" x14ac:dyDescent="0.25">
      <c r="A298" t="str">
        <f>"ZAF2DC5C5C"</f>
        <v>ZAF2DC5C5C</v>
      </c>
      <c r="B298" t="str">
        <f t="shared" si="4"/>
        <v>06363391001</v>
      </c>
      <c r="C298" t="s">
        <v>16</v>
      </c>
      <c r="D298" t="s">
        <v>699</v>
      </c>
      <c r="E298" t="s">
        <v>40</v>
      </c>
      <c r="F298" s="1" t="s">
        <v>445</v>
      </c>
      <c r="G298" t="s">
        <v>83</v>
      </c>
      <c r="H298">
        <v>4500</v>
      </c>
      <c r="I298" s="2">
        <v>44074</v>
      </c>
      <c r="J298" s="2">
        <v>44438</v>
      </c>
      <c r="K298">
        <v>4500</v>
      </c>
    </row>
    <row r="299" spans="1:11" ht="195" x14ac:dyDescent="0.25">
      <c r="A299" t="str">
        <f>"62503510D1"</f>
        <v>62503510D1</v>
      </c>
      <c r="B299" t="str">
        <f t="shared" si="4"/>
        <v>06363391001</v>
      </c>
      <c r="C299" t="s">
        <v>16</v>
      </c>
      <c r="D299" t="s">
        <v>700</v>
      </c>
      <c r="E299" t="s">
        <v>70</v>
      </c>
      <c r="F299" s="1" t="s">
        <v>701</v>
      </c>
      <c r="G299" t="s">
        <v>702</v>
      </c>
      <c r="H299">
        <v>0</v>
      </c>
      <c r="I299" s="2">
        <v>42790</v>
      </c>
      <c r="J299" s="2">
        <v>44250</v>
      </c>
      <c r="K299">
        <v>0</v>
      </c>
    </row>
    <row r="300" spans="1:11" ht="285" x14ac:dyDescent="0.25">
      <c r="A300" t="str">
        <f>"6250358696"</f>
        <v>6250358696</v>
      </c>
      <c r="B300" t="str">
        <f t="shared" si="4"/>
        <v>06363391001</v>
      </c>
      <c r="C300" t="s">
        <v>16</v>
      </c>
      <c r="D300" t="s">
        <v>703</v>
      </c>
      <c r="E300" t="s">
        <v>70</v>
      </c>
      <c r="F300" s="1" t="s">
        <v>704</v>
      </c>
      <c r="G300" t="s">
        <v>702</v>
      </c>
      <c r="H300">
        <v>0</v>
      </c>
      <c r="I300" s="2">
        <v>42790</v>
      </c>
      <c r="J300" s="2">
        <v>44250</v>
      </c>
      <c r="K300">
        <v>0</v>
      </c>
    </row>
    <row r="301" spans="1:11" ht="409.5" x14ac:dyDescent="0.25">
      <c r="A301" t="str">
        <f>"6250363AB5"</f>
        <v>6250363AB5</v>
      </c>
      <c r="B301" t="str">
        <f t="shared" si="4"/>
        <v>06363391001</v>
      </c>
      <c r="C301" t="s">
        <v>16</v>
      </c>
      <c r="D301" t="s">
        <v>705</v>
      </c>
      <c r="E301" t="s">
        <v>70</v>
      </c>
      <c r="F301" s="1" t="s">
        <v>706</v>
      </c>
      <c r="G301" t="s">
        <v>702</v>
      </c>
      <c r="H301">
        <v>0</v>
      </c>
      <c r="I301" s="2">
        <v>42790</v>
      </c>
      <c r="J301" s="2">
        <v>44250</v>
      </c>
      <c r="K301">
        <v>0</v>
      </c>
    </row>
    <row r="302" spans="1:11" ht="255" x14ac:dyDescent="0.25">
      <c r="A302" t="str">
        <f>"6250369FA7"</f>
        <v>6250369FA7</v>
      </c>
      <c r="B302" t="str">
        <f t="shared" si="4"/>
        <v>06363391001</v>
      </c>
      <c r="C302" t="s">
        <v>16</v>
      </c>
      <c r="D302" t="s">
        <v>707</v>
      </c>
      <c r="E302" t="s">
        <v>70</v>
      </c>
      <c r="F302" s="1" t="s">
        <v>708</v>
      </c>
      <c r="G302" t="s">
        <v>702</v>
      </c>
      <c r="H302">
        <v>0</v>
      </c>
      <c r="I302" s="2">
        <v>42790</v>
      </c>
      <c r="J302" s="2">
        <v>44250</v>
      </c>
      <c r="K302">
        <v>0</v>
      </c>
    </row>
    <row r="303" spans="1:11" ht="195" x14ac:dyDescent="0.25">
      <c r="A303" t="str">
        <f>"62503732F8"</f>
        <v>62503732F8</v>
      </c>
      <c r="B303" t="str">
        <f t="shared" si="4"/>
        <v>06363391001</v>
      </c>
      <c r="C303" t="s">
        <v>16</v>
      </c>
      <c r="D303" t="s">
        <v>709</v>
      </c>
      <c r="E303" t="s">
        <v>70</v>
      </c>
      <c r="F303" s="1" t="s">
        <v>701</v>
      </c>
      <c r="G303" t="s">
        <v>702</v>
      </c>
      <c r="H303">
        <v>0</v>
      </c>
      <c r="I303" s="2">
        <v>42790</v>
      </c>
      <c r="J303" s="2">
        <v>44250</v>
      </c>
      <c r="K303">
        <v>0</v>
      </c>
    </row>
    <row r="304" spans="1:11" ht="165" x14ac:dyDescent="0.25">
      <c r="A304" t="str">
        <f>"6250378717"</f>
        <v>6250378717</v>
      </c>
      <c r="B304" t="str">
        <f t="shared" si="4"/>
        <v>06363391001</v>
      </c>
      <c r="C304" t="s">
        <v>16</v>
      </c>
      <c r="D304" t="s">
        <v>710</v>
      </c>
      <c r="E304" t="s">
        <v>70</v>
      </c>
      <c r="F304" s="1" t="s">
        <v>711</v>
      </c>
      <c r="G304" t="s">
        <v>702</v>
      </c>
      <c r="H304">
        <v>0</v>
      </c>
      <c r="I304" s="2">
        <v>42790</v>
      </c>
      <c r="J304" s="2">
        <v>44250</v>
      </c>
      <c r="K304">
        <v>0</v>
      </c>
    </row>
    <row r="305" spans="1:11" ht="150" x14ac:dyDescent="0.25">
      <c r="A305" t="str">
        <f>"Z932DDE6CE"</f>
        <v>Z932DDE6CE</v>
      </c>
      <c r="B305" t="str">
        <f t="shared" si="4"/>
        <v>06363391001</v>
      </c>
      <c r="C305" t="s">
        <v>16</v>
      </c>
      <c r="D305" t="s">
        <v>712</v>
      </c>
      <c r="E305" t="s">
        <v>40</v>
      </c>
      <c r="F305" s="1" t="s">
        <v>351</v>
      </c>
      <c r="G305" t="s">
        <v>352</v>
      </c>
      <c r="H305">
        <v>935.82</v>
      </c>
      <c r="I305" s="2">
        <v>44047</v>
      </c>
      <c r="J305" s="2">
        <v>44053</v>
      </c>
      <c r="K305">
        <v>935.82</v>
      </c>
    </row>
    <row r="306" spans="1:11" ht="150" x14ac:dyDescent="0.25">
      <c r="A306" t="str">
        <f>"Z932DDE6CE"</f>
        <v>Z932DDE6CE</v>
      </c>
      <c r="B306" t="str">
        <f t="shared" si="4"/>
        <v>06363391001</v>
      </c>
      <c r="C306" t="s">
        <v>16</v>
      </c>
      <c r="D306" t="s">
        <v>712</v>
      </c>
      <c r="E306" t="s">
        <v>40</v>
      </c>
      <c r="F306" s="1" t="s">
        <v>351</v>
      </c>
      <c r="G306" t="s">
        <v>352</v>
      </c>
      <c r="H306">
        <v>467.91</v>
      </c>
      <c r="I306" s="2">
        <v>44046</v>
      </c>
      <c r="J306" s="2">
        <v>44053</v>
      </c>
      <c r="K306">
        <v>467.91</v>
      </c>
    </row>
    <row r="307" spans="1:11" ht="360" x14ac:dyDescent="0.25">
      <c r="A307" t="str">
        <f>"5269382F92"</f>
        <v>5269382F92</v>
      </c>
      <c r="B307" t="str">
        <f t="shared" si="4"/>
        <v>06363391001</v>
      </c>
      <c r="C307" t="s">
        <v>16</v>
      </c>
      <c r="D307" t="s">
        <v>713</v>
      </c>
      <c r="E307" t="s">
        <v>70</v>
      </c>
      <c r="F307" s="1" t="s">
        <v>714</v>
      </c>
      <c r="G307" t="s">
        <v>303</v>
      </c>
      <c r="H307">
        <v>10104350.1</v>
      </c>
      <c r="I307" s="2">
        <v>42549</v>
      </c>
      <c r="J307" s="2">
        <v>44377</v>
      </c>
      <c r="K307">
        <v>1646356.4</v>
      </c>
    </row>
    <row r="308" spans="1:11" ht="120" x14ac:dyDescent="0.25">
      <c r="A308" t="str">
        <f>"8351663A53"</f>
        <v>8351663A53</v>
      </c>
      <c r="B308" t="str">
        <f t="shared" si="4"/>
        <v>06363391001</v>
      </c>
      <c r="C308" t="s">
        <v>16</v>
      </c>
      <c r="D308" t="s">
        <v>715</v>
      </c>
      <c r="E308" t="s">
        <v>18</v>
      </c>
      <c r="F308" s="1" t="s">
        <v>716</v>
      </c>
      <c r="G308" t="s">
        <v>595</v>
      </c>
      <c r="H308">
        <v>832606.33</v>
      </c>
      <c r="I308" s="2">
        <v>44013</v>
      </c>
      <c r="J308" s="2">
        <v>44377</v>
      </c>
      <c r="K308">
        <v>346808.15</v>
      </c>
    </row>
    <row r="309" spans="1:11" ht="409.5" x14ac:dyDescent="0.25">
      <c r="A309" t="str">
        <f>"5110108286"</f>
        <v>5110108286</v>
      </c>
      <c r="B309" t="str">
        <f t="shared" si="4"/>
        <v>06363391001</v>
      </c>
      <c r="C309" t="s">
        <v>16</v>
      </c>
      <c r="D309" t="s">
        <v>717</v>
      </c>
      <c r="E309" t="s">
        <v>467</v>
      </c>
      <c r="F309" s="1" t="s">
        <v>718</v>
      </c>
      <c r="G309" s="1" t="s">
        <v>719</v>
      </c>
      <c r="H309">
        <v>2725000</v>
      </c>
      <c r="I309" s="2">
        <v>41913</v>
      </c>
      <c r="J309" s="2">
        <v>44377</v>
      </c>
      <c r="K309">
        <v>2699405.61</v>
      </c>
    </row>
    <row r="310" spans="1:11" ht="150" x14ac:dyDescent="0.25">
      <c r="A310" t="str">
        <f>"Z932DDE6CE"</f>
        <v>Z932DDE6CE</v>
      </c>
      <c r="B310" t="str">
        <f t="shared" si="4"/>
        <v>06363391001</v>
      </c>
      <c r="C310" t="s">
        <v>16</v>
      </c>
      <c r="D310" t="s">
        <v>720</v>
      </c>
      <c r="E310" t="s">
        <v>40</v>
      </c>
      <c r="F310" s="1" t="s">
        <v>351</v>
      </c>
      <c r="G310" t="s">
        <v>352</v>
      </c>
      <c r="H310">
        <v>537.23</v>
      </c>
      <c r="I310" s="2">
        <v>44056</v>
      </c>
      <c r="J310" s="2">
        <v>44060</v>
      </c>
      <c r="K310">
        <v>537.23</v>
      </c>
    </row>
    <row r="311" spans="1:11" ht="90" x14ac:dyDescent="0.25">
      <c r="A311" t="str">
        <f>"83813447DD"</f>
        <v>83813447DD</v>
      </c>
      <c r="B311" t="str">
        <f t="shared" si="4"/>
        <v>06363391001</v>
      </c>
      <c r="C311" t="s">
        <v>16</v>
      </c>
      <c r="D311" t="s">
        <v>721</v>
      </c>
      <c r="E311" t="s">
        <v>18</v>
      </c>
      <c r="F311" s="1" t="s">
        <v>722</v>
      </c>
      <c r="G311" t="s">
        <v>723</v>
      </c>
      <c r="H311">
        <v>0</v>
      </c>
      <c r="I311" s="2">
        <v>44068</v>
      </c>
      <c r="J311" s="2">
        <v>44068</v>
      </c>
      <c r="K311">
        <v>943.23</v>
      </c>
    </row>
    <row r="312" spans="1:11" ht="165" x14ac:dyDescent="0.25">
      <c r="A312" t="str">
        <f>"ZA22E4212B"</f>
        <v>ZA22E4212B</v>
      </c>
      <c r="B312" t="str">
        <f t="shared" si="4"/>
        <v>06363391001</v>
      </c>
      <c r="C312" t="s">
        <v>16</v>
      </c>
      <c r="D312" t="s">
        <v>724</v>
      </c>
      <c r="E312" t="s">
        <v>40</v>
      </c>
      <c r="F312" s="1" t="s">
        <v>725</v>
      </c>
      <c r="G312" t="s">
        <v>726</v>
      </c>
      <c r="H312">
        <v>200</v>
      </c>
      <c r="I312" s="2">
        <v>44085</v>
      </c>
      <c r="J312" s="2">
        <v>44116</v>
      </c>
      <c r="K312">
        <v>200</v>
      </c>
    </row>
    <row r="313" spans="1:11" ht="90" x14ac:dyDescent="0.25">
      <c r="A313" t="str">
        <f>"Z462E331A6"</f>
        <v>Z462E331A6</v>
      </c>
      <c r="B313" t="str">
        <f t="shared" si="4"/>
        <v>06363391001</v>
      </c>
      <c r="C313" t="s">
        <v>16</v>
      </c>
      <c r="D313" t="s">
        <v>727</v>
      </c>
      <c r="E313" t="s">
        <v>40</v>
      </c>
      <c r="F313" s="1" t="s">
        <v>19</v>
      </c>
      <c r="G313" t="s">
        <v>20</v>
      </c>
      <c r="H313">
        <v>39680</v>
      </c>
      <c r="I313" s="2">
        <v>44084</v>
      </c>
      <c r="J313" s="2">
        <v>44130</v>
      </c>
      <c r="K313">
        <v>0</v>
      </c>
    </row>
    <row r="314" spans="1:11" ht="390" x14ac:dyDescent="0.25">
      <c r="A314" t="str">
        <f>"83256374FF"</f>
        <v>83256374FF</v>
      </c>
      <c r="B314" t="str">
        <f t="shared" si="4"/>
        <v>06363391001</v>
      </c>
      <c r="C314" t="s">
        <v>16</v>
      </c>
      <c r="D314" t="s">
        <v>728</v>
      </c>
      <c r="E314" t="s">
        <v>53</v>
      </c>
      <c r="F314" s="1" t="s">
        <v>729</v>
      </c>
      <c r="G314" t="s">
        <v>730</v>
      </c>
      <c r="H314">
        <v>78000</v>
      </c>
      <c r="I314" s="2">
        <v>44084</v>
      </c>
      <c r="J314" s="2">
        <v>45544</v>
      </c>
      <c r="K314">
        <v>0</v>
      </c>
    </row>
    <row r="315" spans="1:11" ht="409.5" x14ac:dyDescent="0.25">
      <c r="A315" t="str">
        <f>"7812245484"</f>
        <v>7812245484</v>
      </c>
      <c r="B315" t="str">
        <f t="shared" si="4"/>
        <v>06363391001</v>
      </c>
      <c r="C315" t="s">
        <v>16</v>
      </c>
      <c r="D315" t="s">
        <v>731</v>
      </c>
      <c r="E315" t="s">
        <v>53</v>
      </c>
      <c r="F315" s="1" t="s">
        <v>732</v>
      </c>
      <c r="G315" t="s">
        <v>733</v>
      </c>
      <c r="H315">
        <v>204376.11</v>
      </c>
      <c r="I315" s="2">
        <v>43613</v>
      </c>
      <c r="J315" s="2">
        <v>44286</v>
      </c>
      <c r="K315">
        <v>110703.6</v>
      </c>
    </row>
    <row r="316" spans="1:11" ht="105" x14ac:dyDescent="0.25">
      <c r="A316" t="str">
        <f>"Z9F2E4C02D"</f>
        <v>Z9F2E4C02D</v>
      </c>
      <c r="B316" t="str">
        <f t="shared" si="4"/>
        <v>06363391001</v>
      </c>
      <c r="C316" t="s">
        <v>16</v>
      </c>
      <c r="D316" t="s">
        <v>280</v>
      </c>
      <c r="E316" t="s">
        <v>40</v>
      </c>
      <c r="F316" s="1" t="s">
        <v>734</v>
      </c>
      <c r="G316" t="s">
        <v>735</v>
      </c>
      <c r="H316">
        <v>528</v>
      </c>
      <c r="I316" s="2">
        <v>44105</v>
      </c>
      <c r="J316" s="2">
        <v>44469</v>
      </c>
      <c r="K316">
        <v>528</v>
      </c>
    </row>
    <row r="317" spans="1:11" ht="285" x14ac:dyDescent="0.25">
      <c r="A317" t="str">
        <f>"8073654E09"</f>
        <v>8073654E09</v>
      </c>
      <c r="B317" t="str">
        <f t="shared" si="4"/>
        <v>06363391001</v>
      </c>
      <c r="C317" t="s">
        <v>16</v>
      </c>
      <c r="D317" t="s">
        <v>736</v>
      </c>
      <c r="E317" t="s">
        <v>70</v>
      </c>
      <c r="F317" s="1" t="s">
        <v>737</v>
      </c>
      <c r="G317" t="s">
        <v>738</v>
      </c>
      <c r="H317">
        <v>1800200</v>
      </c>
      <c r="I317" s="2">
        <v>44040</v>
      </c>
      <c r="J317" s="2">
        <v>45134</v>
      </c>
      <c r="K317">
        <v>0</v>
      </c>
    </row>
    <row r="318" spans="1:11" ht="195" x14ac:dyDescent="0.25">
      <c r="A318" t="str">
        <f>"8116812D25"</f>
        <v>8116812D25</v>
      </c>
      <c r="B318" t="str">
        <f t="shared" si="4"/>
        <v>06363391001</v>
      </c>
      <c r="C318" t="s">
        <v>16</v>
      </c>
      <c r="D318" t="s">
        <v>739</v>
      </c>
      <c r="E318" t="s">
        <v>70</v>
      </c>
      <c r="F318" s="1" t="s">
        <v>740</v>
      </c>
      <c r="G318" t="s">
        <v>741</v>
      </c>
      <c r="H318">
        <v>1086134.6599999999</v>
      </c>
      <c r="I318" s="2">
        <v>44084</v>
      </c>
      <c r="J318" s="2">
        <v>44813</v>
      </c>
      <c r="K318">
        <v>41089.07</v>
      </c>
    </row>
    <row r="319" spans="1:11" ht="120" x14ac:dyDescent="0.25">
      <c r="A319" t="str">
        <f>"Z3F2D9406D"</f>
        <v>Z3F2D9406D</v>
      </c>
      <c r="B319" t="str">
        <f t="shared" si="4"/>
        <v>06363391001</v>
      </c>
      <c r="C319" t="s">
        <v>16</v>
      </c>
      <c r="D319" t="s">
        <v>742</v>
      </c>
      <c r="E319" t="s">
        <v>40</v>
      </c>
      <c r="F319" s="1" t="s">
        <v>502</v>
      </c>
      <c r="G319" t="s">
        <v>503</v>
      </c>
      <c r="H319">
        <v>1145</v>
      </c>
      <c r="I319" s="2">
        <v>44019</v>
      </c>
      <c r="J319" s="2">
        <v>44095</v>
      </c>
      <c r="K319">
        <v>1145</v>
      </c>
    </row>
    <row r="320" spans="1:11" ht="405" x14ac:dyDescent="0.25">
      <c r="A320" t="str">
        <f>"ZA92CE2243"</f>
        <v>ZA92CE2243</v>
      </c>
      <c r="B320" t="str">
        <f t="shared" si="4"/>
        <v>06363391001</v>
      </c>
      <c r="C320" t="s">
        <v>16</v>
      </c>
      <c r="D320" t="s">
        <v>743</v>
      </c>
      <c r="E320" t="s">
        <v>53</v>
      </c>
      <c r="F320" s="1" t="s">
        <v>744</v>
      </c>
      <c r="G320" t="s">
        <v>745</v>
      </c>
      <c r="H320">
        <v>13497.44</v>
      </c>
      <c r="I320" s="2">
        <v>44091</v>
      </c>
      <c r="J320" s="2">
        <v>44120</v>
      </c>
      <c r="K320">
        <v>0</v>
      </c>
    </row>
    <row r="321" spans="1:11" ht="75" x14ac:dyDescent="0.25">
      <c r="A321" t="str">
        <f>"ZB92E5D0E4"</f>
        <v>ZB92E5D0E4</v>
      </c>
      <c r="B321" t="str">
        <f t="shared" si="4"/>
        <v>06363391001</v>
      </c>
      <c r="C321" t="s">
        <v>16</v>
      </c>
      <c r="D321" t="s">
        <v>746</v>
      </c>
      <c r="E321" t="s">
        <v>40</v>
      </c>
      <c r="F321" s="1" t="s">
        <v>747</v>
      </c>
      <c r="G321" t="s">
        <v>748</v>
      </c>
      <c r="H321">
        <v>828</v>
      </c>
      <c r="I321" s="2">
        <v>44092</v>
      </c>
      <c r="J321" s="2">
        <v>44196</v>
      </c>
      <c r="K321">
        <v>0</v>
      </c>
    </row>
    <row r="322" spans="1:11" ht="135" x14ac:dyDescent="0.25">
      <c r="A322" t="str">
        <f>"839209932D"</f>
        <v>839209932D</v>
      </c>
      <c r="B322" t="str">
        <f t="shared" si="4"/>
        <v>06363391001</v>
      </c>
      <c r="C322" t="s">
        <v>16</v>
      </c>
      <c r="D322" t="s">
        <v>749</v>
      </c>
      <c r="E322" t="s">
        <v>53</v>
      </c>
      <c r="F322" s="1" t="s">
        <v>750</v>
      </c>
      <c r="G322" t="s">
        <v>751</v>
      </c>
      <c r="H322">
        <v>3375000</v>
      </c>
      <c r="I322" s="2">
        <v>44047</v>
      </c>
      <c r="J322" s="2">
        <v>45141</v>
      </c>
      <c r="K322">
        <v>562500</v>
      </c>
    </row>
    <row r="323" spans="1:11" ht="135" x14ac:dyDescent="0.25">
      <c r="A323" t="str">
        <f>"Z8A2E5D9CB"</f>
        <v>Z8A2E5D9CB</v>
      </c>
      <c r="B323" t="str">
        <f t="shared" ref="B323:B386" si="5">"06363391001"</f>
        <v>06363391001</v>
      </c>
      <c r="C323" t="s">
        <v>16</v>
      </c>
      <c r="D323" t="s">
        <v>752</v>
      </c>
      <c r="E323" t="s">
        <v>40</v>
      </c>
      <c r="F323" s="1" t="s">
        <v>753</v>
      </c>
      <c r="G323" t="s">
        <v>754</v>
      </c>
      <c r="H323">
        <v>1480</v>
      </c>
      <c r="I323" s="2">
        <v>44063</v>
      </c>
      <c r="J323" s="2">
        <v>44196</v>
      </c>
      <c r="K323">
        <v>380</v>
      </c>
    </row>
    <row r="324" spans="1:11" ht="135" x14ac:dyDescent="0.25">
      <c r="A324" t="str">
        <f>"ZAA2E65EF0"</f>
        <v>ZAA2E65EF0</v>
      </c>
      <c r="B324" t="str">
        <f t="shared" si="5"/>
        <v>06363391001</v>
      </c>
      <c r="C324" t="s">
        <v>16</v>
      </c>
      <c r="D324" t="s">
        <v>755</v>
      </c>
      <c r="E324" t="s">
        <v>40</v>
      </c>
      <c r="F324" s="1" t="s">
        <v>756</v>
      </c>
      <c r="G324" t="s">
        <v>757</v>
      </c>
      <c r="H324">
        <v>3750</v>
      </c>
      <c r="I324" s="2">
        <v>44095</v>
      </c>
      <c r="J324" s="2">
        <v>44196</v>
      </c>
      <c r="K324">
        <v>3750</v>
      </c>
    </row>
    <row r="325" spans="1:11" ht="165" x14ac:dyDescent="0.25">
      <c r="A325" t="str">
        <f>"Z932E65CA9"</f>
        <v>Z932E65CA9</v>
      </c>
      <c r="B325" t="str">
        <f t="shared" si="5"/>
        <v>06363391001</v>
      </c>
      <c r="C325" t="s">
        <v>16</v>
      </c>
      <c r="D325" t="s">
        <v>758</v>
      </c>
      <c r="E325" t="s">
        <v>40</v>
      </c>
      <c r="F325" s="1" t="s">
        <v>759</v>
      </c>
      <c r="G325" t="s">
        <v>760</v>
      </c>
      <c r="H325">
        <v>483</v>
      </c>
      <c r="I325" s="2">
        <v>44091</v>
      </c>
      <c r="J325" s="2">
        <v>44112</v>
      </c>
      <c r="K325">
        <v>483</v>
      </c>
    </row>
    <row r="326" spans="1:11" ht="90" x14ac:dyDescent="0.25">
      <c r="A326" t="str">
        <f>"Z982E65FF8"</f>
        <v>Z982E65FF8</v>
      </c>
      <c r="B326" t="str">
        <f t="shared" si="5"/>
        <v>06363391001</v>
      </c>
      <c r="C326" t="s">
        <v>16</v>
      </c>
      <c r="D326" t="s">
        <v>761</v>
      </c>
      <c r="E326" t="s">
        <v>40</v>
      </c>
      <c r="F326" s="1" t="s">
        <v>762</v>
      </c>
      <c r="G326" t="s">
        <v>763</v>
      </c>
      <c r="H326">
        <v>15926</v>
      </c>
      <c r="I326" s="2">
        <v>44091</v>
      </c>
      <c r="J326" s="2">
        <v>44196</v>
      </c>
      <c r="K326">
        <v>15926</v>
      </c>
    </row>
    <row r="327" spans="1:11" ht="195" x14ac:dyDescent="0.25">
      <c r="A327" t="str">
        <f>"Z272E5A88F"</f>
        <v>Z272E5A88F</v>
      </c>
      <c r="B327" t="str">
        <f t="shared" si="5"/>
        <v>06363391001</v>
      </c>
      <c r="C327" t="s">
        <v>16</v>
      </c>
      <c r="D327" t="s">
        <v>764</v>
      </c>
      <c r="E327" t="s">
        <v>40</v>
      </c>
      <c r="F327" s="1" t="s">
        <v>765</v>
      </c>
      <c r="G327" t="s">
        <v>766</v>
      </c>
      <c r="H327">
        <v>20286.080000000002</v>
      </c>
      <c r="I327" s="2">
        <v>44097</v>
      </c>
      <c r="J327" s="2">
        <v>44237</v>
      </c>
      <c r="K327">
        <v>3487.9</v>
      </c>
    </row>
    <row r="328" spans="1:11" ht="105" x14ac:dyDescent="0.25">
      <c r="A328" t="str">
        <f>"Z242E1D24D"</f>
        <v>Z242E1D24D</v>
      </c>
      <c r="B328" t="str">
        <f t="shared" si="5"/>
        <v>06363391001</v>
      </c>
      <c r="C328" t="s">
        <v>16</v>
      </c>
      <c r="D328" t="s">
        <v>767</v>
      </c>
      <c r="E328" t="s">
        <v>40</v>
      </c>
      <c r="F328" s="1" t="s">
        <v>768</v>
      </c>
      <c r="G328" t="s">
        <v>769</v>
      </c>
      <c r="H328">
        <v>620</v>
      </c>
      <c r="I328" s="2">
        <v>44078</v>
      </c>
      <c r="J328" s="2">
        <v>44442</v>
      </c>
      <c r="K328">
        <v>620</v>
      </c>
    </row>
    <row r="329" spans="1:11" ht="105" x14ac:dyDescent="0.25">
      <c r="A329" t="str">
        <f>"Z812E85F75"</f>
        <v>Z812E85F75</v>
      </c>
      <c r="B329" t="str">
        <f t="shared" si="5"/>
        <v>06363391001</v>
      </c>
      <c r="C329" t="s">
        <v>16</v>
      </c>
      <c r="D329" t="s">
        <v>280</v>
      </c>
      <c r="E329" t="s">
        <v>40</v>
      </c>
      <c r="F329" s="1" t="s">
        <v>142</v>
      </c>
      <c r="G329" t="s">
        <v>143</v>
      </c>
      <c r="H329">
        <v>1046.3</v>
      </c>
      <c r="I329" s="2">
        <v>44104</v>
      </c>
      <c r="J329" s="2">
        <v>44475</v>
      </c>
      <c r="K329">
        <v>1046.3</v>
      </c>
    </row>
    <row r="330" spans="1:11" ht="165" x14ac:dyDescent="0.25">
      <c r="A330" t="str">
        <f>"Z8F2E50857"</f>
        <v>Z8F2E50857</v>
      </c>
      <c r="B330" t="str">
        <f t="shared" si="5"/>
        <v>06363391001</v>
      </c>
      <c r="C330" t="s">
        <v>16</v>
      </c>
      <c r="D330" t="s">
        <v>770</v>
      </c>
      <c r="E330" t="s">
        <v>40</v>
      </c>
      <c r="F330" s="1" t="s">
        <v>771</v>
      </c>
      <c r="G330" t="s">
        <v>772</v>
      </c>
      <c r="H330">
        <v>2011.08</v>
      </c>
      <c r="I330" s="2">
        <v>44092</v>
      </c>
      <c r="J330" s="2">
        <v>44102</v>
      </c>
      <c r="K330">
        <v>2011.08</v>
      </c>
    </row>
    <row r="331" spans="1:11" ht="165" x14ac:dyDescent="0.25">
      <c r="A331" t="str">
        <f>"ZB12E93D3C"</f>
        <v>ZB12E93D3C</v>
      </c>
      <c r="B331" t="str">
        <f t="shared" si="5"/>
        <v>06363391001</v>
      </c>
      <c r="C331" t="s">
        <v>16</v>
      </c>
      <c r="D331" t="s">
        <v>773</v>
      </c>
      <c r="E331" t="s">
        <v>40</v>
      </c>
      <c r="F331" s="1" t="s">
        <v>759</v>
      </c>
      <c r="G331" t="s">
        <v>760</v>
      </c>
      <c r="H331">
        <v>918</v>
      </c>
      <c r="I331" s="2">
        <v>44105</v>
      </c>
      <c r="J331" s="2">
        <v>44129</v>
      </c>
      <c r="K331">
        <v>918</v>
      </c>
    </row>
    <row r="332" spans="1:11" ht="90" x14ac:dyDescent="0.25">
      <c r="A332" t="str">
        <f>"77769573F0"</f>
        <v>77769573F0</v>
      </c>
      <c r="B332" t="str">
        <f t="shared" si="5"/>
        <v>06363391001</v>
      </c>
      <c r="C332" t="s">
        <v>16</v>
      </c>
      <c r="D332" t="s">
        <v>774</v>
      </c>
      <c r="E332" t="s">
        <v>18</v>
      </c>
      <c r="F332" s="1" t="s">
        <v>116</v>
      </c>
      <c r="G332" t="s">
        <v>117</v>
      </c>
      <c r="H332">
        <v>10853.76</v>
      </c>
      <c r="I332" s="2">
        <v>43712</v>
      </c>
      <c r="J332" s="2">
        <v>45172</v>
      </c>
      <c r="K332">
        <v>3355.32</v>
      </c>
    </row>
    <row r="333" spans="1:11" ht="345" x14ac:dyDescent="0.25">
      <c r="A333" t="str">
        <f>"8396084BB1"</f>
        <v>8396084BB1</v>
      </c>
      <c r="B333" t="str">
        <f t="shared" si="5"/>
        <v>06363391001</v>
      </c>
      <c r="C333" t="s">
        <v>16</v>
      </c>
      <c r="D333" t="s">
        <v>775</v>
      </c>
      <c r="E333" t="s">
        <v>53</v>
      </c>
      <c r="F333" s="1" t="s">
        <v>776</v>
      </c>
      <c r="G333" t="s">
        <v>528</v>
      </c>
      <c r="H333">
        <v>204500</v>
      </c>
      <c r="I333" s="2">
        <v>44112</v>
      </c>
      <c r="J333" s="2">
        <v>44942</v>
      </c>
      <c r="K333">
        <v>0</v>
      </c>
    </row>
    <row r="334" spans="1:11" ht="90" x14ac:dyDescent="0.25">
      <c r="A334" t="str">
        <f>"Z702E6523F"</f>
        <v>Z702E6523F</v>
      </c>
      <c r="B334" t="str">
        <f t="shared" si="5"/>
        <v>06363391001</v>
      </c>
      <c r="C334" t="s">
        <v>16</v>
      </c>
      <c r="D334" t="s">
        <v>777</v>
      </c>
      <c r="E334" t="s">
        <v>40</v>
      </c>
      <c r="F334" s="1" t="s">
        <v>242</v>
      </c>
      <c r="G334" t="s">
        <v>243</v>
      </c>
      <c r="H334">
        <v>1200</v>
      </c>
      <c r="I334" s="2">
        <v>44095</v>
      </c>
      <c r="J334" s="2">
        <v>44120</v>
      </c>
      <c r="K334">
        <v>1200</v>
      </c>
    </row>
    <row r="335" spans="1:11" ht="90" x14ac:dyDescent="0.25">
      <c r="A335" t="str">
        <f>"Z3C2E8E3DA"</f>
        <v>Z3C2E8E3DA</v>
      </c>
      <c r="B335" t="str">
        <f t="shared" si="5"/>
        <v>06363391001</v>
      </c>
      <c r="C335" t="s">
        <v>16</v>
      </c>
      <c r="D335" t="s">
        <v>778</v>
      </c>
      <c r="E335" t="s">
        <v>40</v>
      </c>
      <c r="F335" s="1" t="s">
        <v>779</v>
      </c>
      <c r="G335" t="s">
        <v>780</v>
      </c>
      <c r="H335">
        <v>650</v>
      </c>
      <c r="I335" s="2">
        <v>44105</v>
      </c>
      <c r="J335" s="2">
        <v>44134</v>
      </c>
      <c r="K335">
        <v>650</v>
      </c>
    </row>
    <row r="336" spans="1:11" ht="105" x14ac:dyDescent="0.25">
      <c r="A336" t="str">
        <f>"Z182EA3E0F"</f>
        <v>Z182EA3E0F</v>
      </c>
      <c r="B336" t="str">
        <f t="shared" si="5"/>
        <v>06363391001</v>
      </c>
      <c r="C336" t="s">
        <v>16</v>
      </c>
      <c r="D336" t="s">
        <v>781</v>
      </c>
      <c r="E336" t="s">
        <v>40</v>
      </c>
      <c r="F336" s="1" t="s">
        <v>782</v>
      </c>
      <c r="G336" t="s">
        <v>783</v>
      </c>
      <c r="H336">
        <v>2388</v>
      </c>
      <c r="I336" s="2">
        <v>44111</v>
      </c>
      <c r="J336" s="2">
        <v>44139</v>
      </c>
      <c r="K336">
        <v>2388</v>
      </c>
    </row>
    <row r="337" spans="1:11" ht="90" x14ac:dyDescent="0.25">
      <c r="A337" t="str">
        <f>"82564974DD"</f>
        <v>82564974DD</v>
      </c>
      <c r="B337" t="str">
        <f t="shared" si="5"/>
        <v>06363391001</v>
      </c>
      <c r="C337" t="s">
        <v>16</v>
      </c>
      <c r="D337" t="s">
        <v>784</v>
      </c>
      <c r="E337" t="s">
        <v>18</v>
      </c>
      <c r="F337" s="1" t="s">
        <v>116</v>
      </c>
      <c r="G337" t="s">
        <v>117</v>
      </c>
      <c r="H337">
        <v>13673.76</v>
      </c>
      <c r="I337" s="2">
        <v>44049</v>
      </c>
      <c r="J337" s="2">
        <v>45510</v>
      </c>
      <c r="K337">
        <v>1092.02</v>
      </c>
    </row>
    <row r="338" spans="1:11" ht="90" x14ac:dyDescent="0.25">
      <c r="A338" t="str">
        <f>"82566291CC"</f>
        <v>82566291CC</v>
      </c>
      <c r="B338" t="str">
        <f t="shared" si="5"/>
        <v>06363391001</v>
      </c>
      <c r="C338" t="s">
        <v>16</v>
      </c>
      <c r="D338" t="s">
        <v>785</v>
      </c>
      <c r="E338" t="s">
        <v>18</v>
      </c>
      <c r="F338" s="1" t="s">
        <v>116</v>
      </c>
      <c r="G338" t="s">
        <v>117</v>
      </c>
      <c r="H338">
        <v>12953.76</v>
      </c>
      <c r="I338" s="2">
        <v>44069</v>
      </c>
      <c r="J338" s="2">
        <v>45529</v>
      </c>
      <c r="K338">
        <v>854.58</v>
      </c>
    </row>
    <row r="339" spans="1:11" ht="90" x14ac:dyDescent="0.25">
      <c r="A339" t="str">
        <f>"ZE92E938B8"</f>
        <v>ZE92E938B8</v>
      </c>
      <c r="B339" t="str">
        <f t="shared" si="5"/>
        <v>06363391001</v>
      </c>
      <c r="C339" t="s">
        <v>16</v>
      </c>
      <c r="D339" t="s">
        <v>786</v>
      </c>
      <c r="E339" t="s">
        <v>40</v>
      </c>
      <c r="F339" s="1" t="s">
        <v>536</v>
      </c>
      <c r="G339" t="s">
        <v>537</v>
      </c>
      <c r="H339">
        <v>10950</v>
      </c>
      <c r="I339" s="2">
        <v>44105</v>
      </c>
      <c r="J339" s="2">
        <v>44137</v>
      </c>
      <c r="K339">
        <v>0</v>
      </c>
    </row>
    <row r="340" spans="1:11" ht="120" x14ac:dyDescent="0.25">
      <c r="A340" t="str">
        <f>"Z1E2ECDE51"</f>
        <v>Z1E2ECDE51</v>
      </c>
      <c r="B340" t="str">
        <f t="shared" si="5"/>
        <v>06363391001</v>
      </c>
      <c r="C340" t="s">
        <v>16</v>
      </c>
      <c r="D340" t="s">
        <v>787</v>
      </c>
      <c r="E340" t="s">
        <v>40</v>
      </c>
      <c r="F340" s="1" t="s">
        <v>788</v>
      </c>
      <c r="G340" t="s">
        <v>789</v>
      </c>
      <c r="H340">
        <v>269.5</v>
      </c>
      <c r="I340" s="2">
        <v>44112</v>
      </c>
      <c r="J340" s="2">
        <v>44127</v>
      </c>
      <c r="K340">
        <v>269.5</v>
      </c>
    </row>
    <row r="341" spans="1:11" ht="409.5" x14ac:dyDescent="0.25">
      <c r="A341" t="str">
        <f>"ZD42A6AF42"</f>
        <v>ZD42A6AF42</v>
      </c>
      <c r="B341" t="str">
        <f t="shared" si="5"/>
        <v>06363391001</v>
      </c>
      <c r="C341" t="s">
        <v>16</v>
      </c>
      <c r="D341" t="s">
        <v>790</v>
      </c>
      <c r="E341" t="s">
        <v>53</v>
      </c>
      <c r="F341" s="1" t="s">
        <v>791</v>
      </c>
      <c r="G341" t="s">
        <v>792</v>
      </c>
      <c r="H341">
        <v>19000</v>
      </c>
      <c r="I341" s="2">
        <v>44117</v>
      </c>
      <c r="J341" s="2">
        <v>44137</v>
      </c>
      <c r="K341">
        <v>10391.719999999999</v>
      </c>
    </row>
    <row r="342" spans="1:11" ht="90" x14ac:dyDescent="0.25">
      <c r="A342" t="str">
        <f>"ZDD2ECDDD5"</f>
        <v>ZDD2ECDDD5</v>
      </c>
      <c r="B342" t="str">
        <f t="shared" si="5"/>
        <v>06363391001</v>
      </c>
      <c r="C342" t="s">
        <v>16</v>
      </c>
      <c r="D342" t="s">
        <v>793</v>
      </c>
      <c r="E342" t="s">
        <v>40</v>
      </c>
      <c r="F342" s="1" t="s">
        <v>794</v>
      </c>
      <c r="G342" t="s">
        <v>224</v>
      </c>
      <c r="H342">
        <v>4240</v>
      </c>
      <c r="I342" s="2">
        <v>44123</v>
      </c>
      <c r="J342" s="2">
        <v>44154</v>
      </c>
      <c r="K342">
        <v>0</v>
      </c>
    </row>
    <row r="343" spans="1:11" ht="90" x14ac:dyDescent="0.25">
      <c r="A343" t="str">
        <f>"ZB72ECDE60"</f>
        <v>ZB72ECDE60</v>
      </c>
      <c r="B343" t="str">
        <f t="shared" si="5"/>
        <v>06363391001</v>
      </c>
      <c r="C343" t="s">
        <v>16</v>
      </c>
      <c r="D343" t="s">
        <v>795</v>
      </c>
      <c r="E343" t="s">
        <v>40</v>
      </c>
      <c r="F343" s="1" t="s">
        <v>796</v>
      </c>
      <c r="G343" t="s">
        <v>797</v>
      </c>
      <c r="H343">
        <v>287.5</v>
      </c>
      <c r="I343" s="2">
        <v>44130</v>
      </c>
      <c r="J343" s="2">
        <v>44494</v>
      </c>
      <c r="K343">
        <v>0</v>
      </c>
    </row>
    <row r="344" spans="1:11" ht="90" x14ac:dyDescent="0.25">
      <c r="A344" t="str">
        <f>"Z862EF0DC3"</f>
        <v>Z862EF0DC3</v>
      </c>
      <c r="B344" t="str">
        <f t="shared" si="5"/>
        <v>06363391001</v>
      </c>
      <c r="C344" t="s">
        <v>16</v>
      </c>
      <c r="D344" t="s">
        <v>798</v>
      </c>
      <c r="E344" t="s">
        <v>40</v>
      </c>
      <c r="F344" s="1" t="s">
        <v>799</v>
      </c>
      <c r="G344" t="s">
        <v>800</v>
      </c>
      <c r="H344">
        <v>4380</v>
      </c>
      <c r="I344" s="2">
        <v>44131</v>
      </c>
      <c r="J344" s="2">
        <v>44313</v>
      </c>
      <c r="K344">
        <v>0</v>
      </c>
    </row>
    <row r="345" spans="1:11" ht="75" x14ac:dyDescent="0.25">
      <c r="A345" t="str">
        <f>"ZC12EE9852"</f>
        <v>ZC12EE9852</v>
      </c>
      <c r="B345" t="str">
        <f t="shared" si="5"/>
        <v>06363391001</v>
      </c>
      <c r="C345" t="s">
        <v>16</v>
      </c>
      <c r="D345" t="s">
        <v>801</v>
      </c>
      <c r="E345" t="s">
        <v>40</v>
      </c>
      <c r="F345" s="1" t="s">
        <v>802</v>
      </c>
      <c r="G345" t="s">
        <v>803</v>
      </c>
      <c r="H345">
        <v>7900</v>
      </c>
      <c r="I345" s="2">
        <v>44131</v>
      </c>
      <c r="J345" s="2">
        <v>44225</v>
      </c>
      <c r="K345">
        <v>0</v>
      </c>
    </row>
    <row r="346" spans="1:11" ht="75" x14ac:dyDescent="0.25">
      <c r="A346" t="str">
        <f>"ZAC2EA63FD"</f>
        <v>ZAC2EA63FD</v>
      </c>
      <c r="B346" t="str">
        <f t="shared" si="5"/>
        <v>06363391001</v>
      </c>
      <c r="C346" t="s">
        <v>16</v>
      </c>
      <c r="D346" t="s">
        <v>804</v>
      </c>
      <c r="E346" t="s">
        <v>40</v>
      </c>
      <c r="F346" s="1" t="s">
        <v>805</v>
      </c>
      <c r="G346" t="s">
        <v>806</v>
      </c>
      <c r="H346">
        <v>1500</v>
      </c>
      <c r="I346" s="2">
        <v>44111</v>
      </c>
      <c r="J346" s="2">
        <v>44127</v>
      </c>
      <c r="K346">
        <v>1500</v>
      </c>
    </row>
    <row r="347" spans="1:11" ht="75" x14ac:dyDescent="0.25">
      <c r="A347" t="str">
        <f>"Z762ECDE81"</f>
        <v>Z762ECDE81</v>
      </c>
      <c r="B347" t="str">
        <f t="shared" si="5"/>
        <v>06363391001</v>
      </c>
      <c r="C347" t="s">
        <v>16</v>
      </c>
      <c r="D347" t="s">
        <v>807</v>
      </c>
      <c r="E347" t="s">
        <v>40</v>
      </c>
      <c r="F347" s="1" t="s">
        <v>808</v>
      </c>
      <c r="G347" t="s">
        <v>809</v>
      </c>
      <c r="H347">
        <v>11900</v>
      </c>
      <c r="I347" s="2">
        <v>44126</v>
      </c>
      <c r="J347" s="2">
        <v>44132</v>
      </c>
      <c r="K347">
        <v>11900</v>
      </c>
    </row>
    <row r="348" spans="1:11" ht="150" x14ac:dyDescent="0.25">
      <c r="A348" t="str">
        <f>"Z112ED0FC2"</f>
        <v>Z112ED0FC2</v>
      </c>
      <c r="B348" t="str">
        <f t="shared" si="5"/>
        <v>06363391001</v>
      </c>
      <c r="C348" t="s">
        <v>16</v>
      </c>
      <c r="D348" t="s">
        <v>810</v>
      </c>
      <c r="E348" t="s">
        <v>40</v>
      </c>
      <c r="F348" s="1" t="s">
        <v>351</v>
      </c>
      <c r="G348" t="s">
        <v>352</v>
      </c>
      <c r="H348">
        <v>1022.47</v>
      </c>
      <c r="I348" s="2">
        <v>44127</v>
      </c>
      <c r="J348" s="2">
        <v>44132</v>
      </c>
      <c r="K348">
        <v>1022.47</v>
      </c>
    </row>
    <row r="349" spans="1:11" ht="390" x14ac:dyDescent="0.25">
      <c r="A349" t="str">
        <f>"8297764B76"</f>
        <v>8297764B76</v>
      </c>
      <c r="B349" t="str">
        <f t="shared" si="5"/>
        <v>06363391001</v>
      </c>
      <c r="C349" t="s">
        <v>16</v>
      </c>
      <c r="D349" t="s">
        <v>811</v>
      </c>
      <c r="E349" t="s">
        <v>53</v>
      </c>
      <c r="F349" s="1" t="s">
        <v>812</v>
      </c>
      <c r="G349" t="s">
        <v>813</v>
      </c>
      <c r="H349">
        <v>80050.539999999994</v>
      </c>
      <c r="I349" s="2">
        <v>44112</v>
      </c>
      <c r="J349" s="2">
        <v>44293</v>
      </c>
      <c r="K349">
        <v>3493.64</v>
      </c>
    </row>
    <row r="350" spans="1:11" ht="75" x14ac:dyDescent="0.25">
      <c r="A350" t="str">
        <f>"8493332749"</f>
        <v>8493332749</v>
      </c>
      <c r="B350" t="str">
        <f t="shared" si="5"/>
        <v>06363391001</v>
      </c>
      <c r="C350" t="s">
        <v>16</v>
      </c>
      <c r="D350" t="s">
        <v>814</v>
      </c>
      <c r="E350" t="s">
        <v>18</v>
      </c>
      <c r="F350" s="1" t="s">
        <v>815</v>
      </c>
      <c r="G350" t="s">
        <v>813</v>
      </c>
      <c r="H350">
        <v>53849.66</v>
      </c>
      <c r="I350" s="2">
        <v>44133</v>
      </c>
      <c r="J350" s="2">
        <v>44148</v>
      </c>
      <c r="K350">
        <v>50196.57</v>
      </c>
    </row>
    <row r="351" spans="1:11" ht="120" x14ac:dyDescent="0.25">
      <c r="A351" t="str">
        <f>"8493375AC4"</f>
        <v>8493375AC4</v>
      </c>
      <c r="B351" t="str">
        <f t="shared" si="5"/>
        <v>06363391001</v>
      </c>
      <c r="C351" t="s">
        <v>16</v>
      </c>
      <c r="D351" t="s">
        <v>814</v>
      </c>
      <c r="E351" t="s">
        <v>18</v>
      </c>
      <c r="F351" s="1" t="s">
        <v>816</v>
      </c>
      <c r="G351" t="s">
        <v>817</v>
      </c>
      <c r="H351">
        <v>57090.25</v>
      </c>
      <c r="I351" s="2">
        <v>44133</v>
      </c>
      <c r="J351" s="2">
        <v>44148</v>
      </c>
      <c r="K351">
        <v>8672.67</v>
      </c>
    </row>
    <row r="352" spans="1:11" ht="135" x14ac:dyDescent="0.25">
      <c r="A352" t="str">
        <f>"84934107A7"</f>
        <v>84934107A7</v>
      </c>
      <c r="B352" t="str">
        <f t="shared" si="5"/>
        <v>06363391001</v>
      </c>
      <c r="C352" t="s">
        <v>16</v>
      </c>
      <c r="D352" t="s">
        <v>814</v>
      </c>
      <c r="E352" t="s">
        <v>18</v>
      </c>
      <c r="F352" s="1" t="s">
        <v>818</v>
      </c>
      <c r="G352" t="s">
        <v>819</v>
      </c>
      <c r="H352">
        <v>51585</v>
      </c>
      <c r="I352" s="2">
        <v>44133</v>
      </c>
      <c r="J352" s="2">
        <v>44148</v>
      </c>
      <c r="K352">
        <v>30183.33</v>
      </c>
    </row>
    <row r="353" spans="1:11" ht="120" x14ac:dyDescent="0.25">
      <c r="A353" t="str">
        <f>"Z172ECDE64"</f>
        <v>Z172ECDE64</v>
      </c>
      <c r="B353" t="str">
        <f t="shared" si="5"/>
        <v>06363391001</v>
      </c>
      <c r="C353" t="s">
        <v>16</v>
      </c>
      <c r="D353" t="s">
        <v>820</v>
      </c>
      <c r="E353" t="s">
        <v>40</v>
      </c>
      <c r="F353" s="1" t="s">
        <v>821</v>
      </c>
      <c r="G353" t="s">
        <v>822</v>
      </c>
      <c r="H353">
        <v>439.98</v>
      </c>
      <c r="I353" s="2">
        <v>44141</v>
      </c>
      <c r="J353" s="2">
        <v>44505</v>
      </c>
      <c r="K353">
        <v>423.05</v>
      </c>
    </row>
    <row r="354" spans="1:11" ht="390" x14ac:dyDescent="0.25">
      <c r="A354" t="str">
        <f>"8297764B76"</f>
        <v>8297764B76</v>
      </c>
      <c r="B354" t="str">
        <f t="shared" si="5"/>
        <v>06363391001</v>
      </c>
      <c r="C354" t="s">
        <v>16</v>
      </c>
      <c r="D354" t="s">
        <v>823</v>
      </c>
      <c r="E354" t="s">
        <v>53</v>
      </c>
      <c r="F354" s="1" t="s">
        <v>812</v>
      </c>
      <c r="G354" t="s">
        <v>817</v>
      </c>
      <c r="H354">
        <v>84569</v>
      </c>
      <c r="I354" s="2">
        <v>44112</v>
      </c>
      <c r="J354" s="2">
        <v>44293</v>
      </c>
      <c r="K354">
        <v>0</v>
      </c>
    </row>
    <row r="355" spans="1:11" ht="390" x14ac:dyDescent="0.25">
      <c r="A355" t="str">
        <f>"8297764B76"</f>
        <v>8297764B76</v>
      </c>
      <c r="B355" t="str">
        <f t="shared" si="5"/>
        <v>06363391001</v>
      </c>
      <c r="C355" t="s">
        <v>16</v>
      </c>
      <c r="D355" t="s">
        <v>823</v>
      </c>
      <c r="E355" t="s">
        <v>53</v>
      </c>
      <c r="F355" s="1" t="s">
        <v>812</v>
      </c>
      <c r="G355" t="s">
        <v>819</v>
      </c>
      <c r="H355">
        <v>78829</v>
      </c>
      <c r="I355" s="2">
        <v>44133</v>
      </c>
      <c r="J355" s="2">
        <v>44293</v>
      </c>
      <c r="K355">
        <v>0</v>
      </c>
    </row>
    <row r="356" spans="1:11" ht="75" x14ac:dyDescent="0.25">
      <c r="A356" t="str">
        <f>"Z782F164FA"</f>
        <v>Z782F164FA</v>
      </c>
      <c r="B356" t="str">
        <f t="shared" si="5"/>
        <v>06363391001</v>
      </c>
      <c r="C356" t="s">
        <v>16</v>
      </c>
      <c r="D356" t="s">
        <v>824</v>
      </c>
      <c r="E356" t="s">
        <v>40</v>
      </c>
      <c r="F356" s="1" t="s">
        <v>825</v>
      </c>
      <c r="G356" t="s">
        <v>826</v>
      </c>
      <c r="H356">
        <v>3760</v>
      </c>
      <c r="I356" s="2">
        <v>44141</v>
      </c>
      <c r="J356" s="2">
        <v>44196</v>
      </c>
      <c r="K356">
        <v>3760</v>
      </c>
    </row>
    <row r="357" spans="1:11" ht="90" x14ac:dyDescent="0.25">
      <c r="A357" t="str">
        <f>"8265024192"</f>
        <v>8265024192</v>
      </c>
      <c r="B357" t="str">
        <f t="shared" si="5"/>
        <v>06363391001</v>
      </c>
      <c r="C357" t="s">
        <v>16</v>
      </c>
      <c r="D357" t="s">
        <v>827</v>
      </c>
      <c r="E357" t="s">
        <v>18</v>
      </c>
      <c r="F357" s="1" t="s">
        <v>116</v>
      </c>
      <c r="G357" t="s">
        <v>117</v>
      </c>
      <c r="H357">
        <v>12953.76</v>
      </c>
      <c r="I357" s="2">
        <v>44124</v>
      </c>
      <c r="J357" s="2">
        <v>45584</v>
      </c>
      <c r="K357">
        <v>0</v>
      </c>
    </row>
    <row r="358" spans="1:11" ht="90" x14ac:dyDescent="0.25">
      <c r="A358" t="str">
        <f>"Z8E2EAE13F"</f>
        <v>Z8E2EAE13F</v>
      </c>
      <c r="B358" t="str">
        <f t="shared" si="5"/>
        <v>06363391001</v>
      </c>
      <c r="C358" t="s">
        <v>16</v>
      </c>
      <c r="D358" t="s">
        <v>828</v>
      </c>
      <c r="E358" t="s">
        <v>40</v>
      </c>
      <c r="F358" s="1" t="s">
        <v>829</v>
      </c>
      <c r="G358" t="s">
        <v>830</v>
      </c>
      <c r="H358">
        <v>350</v>
      </c>
      <c r="I358" s="2">
        <v>44127</v>
      </c>
      <c r="J358" s="2">
        <v>44158</v>
      </c>
      <c r="K358">
        <v>350</v>
      </c>
    </row>
    <row r="359" spans="1:11" ht="90" x14ac:dyDescent="0.25">
      <c r="A359" t="str">
        <f>"8256645EFC"</f>
        <v>8256645EFC</v>
      </c>
      <c r="B359" t="str">
        <f t="shared" si="5"/>
        <v>06363391001</v>
      </c>
      <c r="C359" t="s">
        <v>16</v>
      </c>
      <c r="D359" t="s">
        <v>831</v>
      </c>
      <c r="E359" t="s">
        <v>18</v>
      </c>
      <c r="F359" s="1" t="s">
        <v>116</v>
      </c>
      <c r="G359" t="s">
        <v>117</v>
      </c>
      <c r="H359">
        <v>12953.76</v>
      </c>
      <c r="I359" s="2">
        <v>44074</v>
      </c>
      <c r="J359" s="2">
        <v>45534</v>
      </c>
      <c r="K359">
        <v>0</v>
      </c>
    </row>
    <row r="360" spans="1:11" ht="90" x14ac:dyDescent="0.25">
      <c r="A360" t="str">
        <f>"8264957A45"</f>
        <v>8264957A45</v>
      </c>
      <c r="B360" t="str">
        <f t="shared" si="5"/>
        <v>06363391001</v>
      </c>
      <c r="C360" t="s">
        <v>16</v>
      </c>
      <c r="D360" t="s">
        <v>832</v>
      </c>
      <c r="E360" t="s">
        <v>18</v>
      </c>
      <c r="F360" s="1" t="s">
        <v>116</v>
      </c>
      <c r="G360" t="s">
        <v>117</v>
      </c>
      <c r="H360">
        <v>13673.76</v>
      </c>
      <c r="I360" s="2">
        <v>43923</v>
      </c>
      <c r="K360">
        <v>389.32</v>
      </c>
    </row>
    <row r="361" spans="1:11" ht="90" x14ac:dyDescent="0.25">
      <c r="A361" t="str">
        <f>"82649883DC"</f>
        <v>82649883DC</v>
      </c>
      <c r="B361" t="str">
        <f t="shared" si="5"/>
        <v>06363391001</v>
      </c>
      <c r="C361" t="s">
        <v>16</v>
      </c>
      <c r="D361" t="s">
        <v>832</v>
      </c>
      <c r="E361" t="s">
        <v>18</v>
      </c>
      <c r="F361" s="1" t="s">
        <v>116</v>
      </c>
      <c r="G361" t="s">
        <v>117</v>
      </c>
      <c r="H361">
        <v>13673.76</v>
      </c>
      <c r="I361" s="2">
        <v>43923</v>
      </c>
      <c r="K361">
        <v>0</v>
      </c>
    </row>
    <row r="362" spans="1:11" ht="90" x14ac:dyDescent="0.25">
      <c r="A362" t="str">
        <f>"826500303E"</f>
        <v>826500303E</v>
      </c>
      <c r="B362" t="str">
        <f t="shared" si="5"/>
        <v>06363391001</v>
      </c>
      <c r="C362" t="s">
        <v>16</v>
      </c>
      <c r="D362" t="s">
        <v>832</v>
      </c>
      <c r="E362" t="s">
        <v>18</v>
      </c>
      <c r="F362" s="1" t="s">
        <v>116</v>
      </c>
      <c r="G362" t="s">
        <v>117</v>
      </c>
      <c r="H362">
        <v>12953.76</v>
      </c>
      <c r="I362" s="2">
        <v>43923</v>
      </c>
      <c r="K362">
        <v>0</v>
      </c>
    </row>
    <row r="363" spans="1:11" ht="90" x14ac:dyDescent="0.25">
      <c r="A363" t="str">
        <f>"8380443058"</f>
        <v>8380443058</v>
      </c>
      <c r="B363" t="str">
        <f t="shared" si="5"/>
        <v>06363391001</v>
      </c>
      <c r="C363" t="s">
        <v>16</v>
      </c>
      <c r="D363" t="s">
        <v>833</v>
      </c>
      <c r="E363" t="s">
        <v>18</v>
      </c>
      <c r="F363" s="1" t="s">
        <v>834</v>
      </c>
      <c r="G363" t="s">
        <v>203</v>
      </c>
      <c r="H363">
        <v>65550</v>
      </c>
      <c r="I363" s="2">
        <v>44044</v>
      </c>
      <c r="J363" s="2">
        <v>45138</v>
      </c>
      <c r="K363">
        <v>5462.5</v>
      </c>
    </row>
    <row r="364" spans="1:11" ht="135" x14ac:dyDescent="0.25">
      <c r="A364" t="str">
        <f>"8477928F7E"</f>
        <v>8477928F7E</v>
      </c>
      <c r="B364" t="str">
        <f t="shared" si="5"/>
        <v>06363391001</v>
      </c>
      <c r="C364" t="s">
        <v>16</v>
      </c>
      <c r="D364" t="s">
        <v>48</v>
      </c>
      <c r="E364" t="s">
        <v>18</v>
      </c>
      <c r="F364" s="1" t="s">
        <v>29</v>
      </c>
      <c r="G364" t="s">
        <v>30</v>
      </c>
      <c r="H364">
        <v>13299</v>
      </c>
      <c r="I364" s="2">
        <v>44145</v>
      </c>
      <c r="J364" s="2">
        <v>45971</v>
      </c>
      <c r="K364">
        <v>0</v>
      </c>
    </row>
    <row r="365" spans="1:11" ht="120" x14ac:dyDescent="0.25">
      <c r="A365" t="str">
        <f>"Z452F0EE52"</f>
        <v>Z452F0EE52</v>
      </c>
      <c r="B365" t="str">
        <f t="shared" si="5"/>
        <v>06363391001</v>
      </c>
      <c r="C365" t="s">
        <v>16</v>
      </c>
      <c r="D365" t="s">
        <v>835</v>
      </c>
      <c r="E365" t="s">
        <v>40</v>
      </c>
      <c r="F365" s="1" t="s">
        <v>836</v>
      </c>
      <c r="G365" t="s">
        <v>837</v>
      </c>
      <c r="H365">
        <v>194.3</v>
      </c>
      <c r="I365" s="2">
        <v>44154</v>
      </c>
      <c r="J365" s="2">
        <v>44518</v>
      </c>
      <c r="K365">
        <v>0</v>
      </c>
    </row>
    <row r="366" spans="1:11" ht="105" x14ac:dyDescent="0.25">
      <c r="A366" t="str">
        <f>"8518136C30"</f>
        <v>8518136C30</v>
      </c>
      <c r="B366" t="str">
        <f t="shared" si="5"/>
        <v>06363391001</v>
      </c>
      <c r="C366" t="s">
        <v>16</v>
      </c>
      <c r="D366" t="s">
        <v>838</v>
      </c>
      <c r="E366" t="s">
        <v>18</v>
      </c>
      <c r="F366" s="1" t="s">
        <v>249</v>
      </c>
      <c r="G366" t="s">
        <v>250</v>
      </c>
      <c r="H366">
        <v>0</v>
      </c>
      <c r="I366" s="2">
        <v>44153</v>
      </c>
      <c r="J366" s="2">
        <v>44196</v>
      </c>
      <c r="K366">
        <v>0</v>
      </c>
    </row>
    <row r="367" spans="1:11" ht="105" x14ac:dyDescent="0.25">
      <c r="A367" t="str">
        <f>"85198946F1"</f>
        <v>85198946F1</v>
      </c>
      <c r="B367" t="str">
        <f t="shared" si="5"/>
        <v>06363391001</v>
      </c>
      <c r="C367" t="s">
        <v>16</v>
      </c>
      <c r="D367" t="s">
        <v>839</v>
      </c>
      <c r="E367" t="s">
        <v>18</v>
      </c>
      <c r="F367" s="1" t="s">
        <v>249</v>
      </c>
      <c r="G367" t="s">
        <v>250</v>
      </c>
      <c r="H367">
        <v>0</v>
      </c>
      <c r="I367" s="2">
        <v>44153</v>
      </c>
      <c r="J367" s="2">
        <v>44196</v>
      </c>
      <c r="K367">
        <v>0</v>
      </c>
    </row>
    <row r="368" spans="1:11" ht="360" x14ac:dyDescent="0.25">
      <c r="A368" t="str">
        <f>"8164233A32"</f>
        <v>8164233A32</v>
      </c>
      <c r="B368" t="str">
        <f t="shared" si="5"/>
        <v>06363391001</v>
      </c>
      <c r="C368" t="s">
        <v>16</v>
      </c>
      <c r="D368" t="s">
        <v>840</v>
      </c>
      <c r="E368" t="s">
        <v>70</v>
      </c>
      <c r="F368" s="1" t="s">
        <v>841</v>
      </c>
      <c r="G368" t="s">
        <v>842</v>
      </c>
      <c r="H368">
        <v>221930.27</v>
      </c>
      <c r="I368" s="2">
        <v>44090</v>
      </c>
      <c r="J368" s="2">
        <v>44454</v>
      </c>
      <c r="K368">
        <v>1451.57</v>
      </c>
    </row>
    <row r="369" spans="1:11" ht="165" x14ac:dyDescent="0.25">
      <c r="A369" t="str">
        <f>"ZE72F6FBFC"</f>
        <v>ZE72F6FBFC</v>
      </c>
      <c r="B369" t="str">
        <f t="shared" si="5"/>
        <v>06363391001</v>
      </c>
      <c r="C369" t="s">
        <v>16</v>
      </c>
      <c r="D369" t="s">
        <v>843</v>
      </c>
      <c r="E369" t="s">
        <v>40</v>
      </c>
      <c r="F369" s="1" t="s">
        <v>771</v>
      </c>
      <c r="G369" t="s">
        <v>772</v>
      </c>
      <c r="H369">
        <v>180</v>
      </c>
      <c r="I369" s="2">
        <v>44165</v>
      </c>
      <c r="J369" s="2">
        <v>44180</v>
      </c>
      <c r="K369">
        <v>180</v>
      </c>
    </row>
    <row r="370" spans="1:11" ht="165" x14ac:dyDescent="0.25">
      <c r="A370" t="str">
        <f>"Z8F2F6F7E0"</f>
        <v>Z8F2F6F7E0</v>
      </c>
      <c r="B370" t="str">
        <f t="shared" si="5"/>
        <v>06363391001</v>
      </c>
      <c r="C370" t="s">
        <v>16</v>
      </c>
      <c r="D370" t="s">
        <v>844</v>
      </c>
      <c r="E370" t="s">
        <v>40</v>
      </c>
      <c r="F370" s="1" t="s">
        <v>845</v>
      </c>
      <c r="G370" t="s">
        <v>846</v>
      </c>
      <c r="H370">
        <v>300</v>
      </c>
      <c r="I370" s="2">
        <v>44165</v>
      </c>
      <c r="J370" s="2">
        <v>44227</v>
      </c>
      <c r="K370">
        <v>0</v>
      </c>
    </row>
    <row r="371" spans="1:11" ht="120" x14ac:dyDescent="0.25">
      <c r="A371" t="str">
        <f>"Z7D2F7C4D8"</f>
        <v>Z7D2F7C4D8</v>
      </c>
      <c r="B371" t="str">
        <f t="shared" si="5"/>
        <v>06363391001</v>
      </c>
      <c r="C371" t="s">
        <v>16</v>
      </c>
      <c r="D371" t="s">
        <v>459</v>
      </c>
      <c r="E371" t="s">
        <v>40</v>
      </c>
      <c r="F371" s="1" t="s">
        <v>847</v>
      </c>
      <c r="G371" t="s">
        <v>848</v>
      </c>
      <c r="H371">
        <v>36</v>
      </c>
      <c r="I371" s="2">
        <v>44166</v>
      </c>
      <c r="J371" s="2">
        <v>44173</v>
      </c>
      <c r="K371">
        <v>34.590000000000003</v>
      </c>
    </row>
    <row r="372" spans="1:11" ht="90" x14ac:dyDescent="0.25">
      <c r="A372" t="str">
        <f>"ZF32F7C44B"</f>
        <v>ZF32F7C44B</v>
      </c>
      <c r="B372" t="str">
        <f t="shared" si="5"/>
        <v>06363391001</v>
      </c>
      <c r="C372" t="s">
        <v>16</v>
      </c>
      <c r="D372" t="s">
        <v>459</v>
      </c>
      <c r="E372" t="s">
        <v>40</v>
      </c>
      <c r="F372" s="1" t="s">
        <v>849</v>
      </c>
      <c r="G372" t="s">
        <v>850</v>
      </c>
      <c r="H372">
        <v>18.399999999999999</v>
      </c>
      <c r="I372" s="2">
        <v>44166</v>
      </c>
      <c r="J372" s="2">
        <v>44173</v>
      </c>
      <c r="K372">
        <v>18.399999999999999</v>
      </c>
    </row>
    <row r="373" spans="1:11" ht="75" x14ac:dyDescent="0.25">
      <c r="A373" t="str">
        <f>"ZC12F7C390"</f>
        <v>ZC12F7C390</v>
      </c>
      <c r="B373" t="str">
        <f t="shared" si="5"/>
        <v>06363391001</v>
      </c>
      <c r="C373" t="s">
        <v>16</v>
      </c>
      <c r="D373" t="s">
        <v>459</v>
      </c>
      <c r="E373" t="s">
        <v>40</v>
      </c>
      <c r="F373" s="1" t="s">
        <v>851</v>
      </c>
      <c r="G373" t="s">
        <v>852</v>
      </c>
      <c r="H373">
        <v>441.03</v>
      </c>
      <c r="I373" s="2">
        <v>44166</v>
      </c>
      <c r="J373" s="2">
        <v>44173</v>
      </c>
      <c r="K373">
        <v>0</v>
      </c>
    </row>
    <row r="374" spans="1:11" ht="375" x14ac:dyDescent="0.25">
      <c r="A374" t="str">
        <f>"8157934C18"</f>
        <v>8157934C18</v>
      </c>
      <c r="B374" t="str">
        <f t="shared" si="5"/>
        <v>06363391001</v>
      </c>
      <c r="C374" t="s">
        <v>16</v>
      </c>
      <c r="D374" t="s">
        <v>853</v>
      </c>
      <c r="E374" t="s">
        <v>53</v>
      </c>
      <c r="F374" s="1" t="s">
        <v>854</v>
      </c>
      <c r="G374" t="s">
        <v>655</v>
      </c>
      <c r="H374">
        <v>200737.5</v>
      </c>
      <c r="I374" s="2">
        <v>44165</v>
      </c>
      <c r="J374" s="2">
        <v>45259</v>
      </c>
      <c r="K374">
        <v>0</v>
      </c>
    </row>
    <row r="375" spans="1:11" ht="90" x14ac:dyDescent="0.25">
      <c r="A375" t="str">
        <f>"Z912F7CF23"</f>
        <v>Z912F7CF23</v>
      </c>
      <c r="B375" t="str">
        <f t="shared" si="5"/>
        <v>06363391001</v>
      </c>
      <c r="C375" t="s">
        <v>16</v>
      </c>
      <c r="D375" t="s">
        <v>820</v>
      </c>
      <c r="E375" t="s">
        <v>40</v>
      </c>
      <c r="F375" s="1" t="s">
        <v>293</v>
      </c>
      <c r="G375" t="s">
        <v>294</v>
      </c>
      <c r="H375">
        <v>3986.5</v>
      </c>
      <c r="I375" s="2">
        <v>44207</v>
      </c>
      <c r="J375" s="2">
        <v>44658</v>
      </c>
      <c r="K375">
        <v>0</v>
      </c>
    </row>
    <row r="376" spans="1:11" ht="165" x14ac:dyDescent="0.25">
      <c r="A376" t="str">
        <f>"0000000000"</f>
        <v>0000000000</v>
      </c>
      <c r="B376" t="str">
        <f t="shared" si="5"/>
        <v>06363391001</v>
      </c>
      <c r="C376" t="s">
        <v>16</v>
      </c>
      <c r="D376" t="s">
        <v>855</v>
      </c>
      <c r="E376" t="s">
        <v>40</v>
      </c>
      <c r="F376" s="1" t="s">
        <v>296</v>
      </c>
      <c r="G376" t="s">
        <v>297</v>
      </c>
      <c r="H376">
        <v>10000</v>
      </c>
      <c r="I376" s="2">
        <v>44197</v>
      </c>
      <c r="J376" s="2">
        <v>44561</v>
      </c>
      <c r="K376">
        <v>0</v>
      </c>
    </row>
    <row r="377" spans="1:11" ht="75" x14ac:dyDescent="0.25">
      <c r="A377" t="str">
        <f>"Z4B2F7CEE6"</f>
        <v>Z4B2F7CEE6</v>
      </c>
      <c r="B377" t="str">
        <f t="shared" si="5"/>
        <v>06363391001</v>
      </c>
      <c r="C377" t="s">
        <v>16</v>
      </c>
      <c r="D377" t="s">
        <v>856</v>
      </c>
      <c r="E377" t="s">
        <v>40</v>
      </c>
      <c r="F377" s="1" t="s">
        <v>391</v>
      </c>
      <c r="G377" t="s">
        <v>392</v>
      </c>
      <c r="H377">
        <v>210</v>
      </c>
      <c r="I377" s="2">
        <v>43831</v>
      </c>
      <c r="J377" s="2">
        <v>44561</v>
      </c>
      <c r="K377">
        <v>0</v>
      </c>
    </row>
    <row r="378" spans="1:11" ht="150" x14ac:dyDescent="0.25">
      <c r="A378" t="str">
        <f>"ZB02ECEA37"</f>
        <v>ZB02ECEA37</v>
      </c>
      <c r="B378" t="str">
        <f t="shared" si="5"/>
        <v>06363391001</v>
      </c>
      <c r="C378" t="s">
        <v>16</v>
      </c>
      <c r="D378" t="s">
        <v>857</v>
      </c>
      <c r="E378" t="s">
        <v>40</v>
      </c>
      <c r="F378" s="1" t="s">
        <v>858</v>
      </c>
      <c r="G378" t="s">
        <v>859</v>
      </c>
      <c r="H378">
        <v>870</v>
      </c>
      <c r="I378" s="2">
        <v>44126</v>
      </c>
      <c r="J378" s="2">
        <v>44132</v>
      </c>
      <c r="K378">
        <v>750</v>
      </c>
    </row>
    <row r="379" spans="1:11" ht="150" x14ac:dyDescent="0.25">
      <c r="A379" t="str">
        <f>"ZC52ECE9FE"</f>
        <v>ZC52ECE9FE</v>
      </c>
      <c r="B379" t="str">
        <f t="shared" si="5"/>
        <v>06363391001</v>
      </c>
      <c r="C379" t="s">
        <v>16</v>
      </c>
      <c r="D379" t="s">
        <v>860</v>
      </c>
      <c r="E379" t="s">
        <v>40</v>
      </c>
      <c r="F379" s="1" t="s">
        <v>861</v>
      </c>
      <c r="G379" t="s">
        <v>862</v>
      </c>
      <c r="H379">
        <v>1800</v>
      </c>
      <c r="I379" s="2">
        <v>44126</v>
      </c>
      <c r="J379" s="2">
        <v>44132</v>
      </c>
      <c r="K379">
        <v>0</v>
      </c>
    </row>
    <row r="380" spans="1:11" ht="255" x14ac:dyDescent="0.25">
      <c r="A380" t="str">
        <f>"8164204246"</f>
        <v>8164204246</v>
      </c>
      <c r="B380" t="str">
        <f t="shared" si="5"/>
        <v>06363391001</v>
      </c>
      <c r="C380" t="s">
        <v>16</v>
      </c>
      <c r="D380" t="s">
        <v>863</v>
      </c>
      <c r="E380" t="s">
        <v>70</v>
      </c>
      <c r="F380" s="1" t="s">
        <v>864</v>
      </c>
      <c r="G380" t="s">
        <v>865</v>
      </c>
      <c r="H380">
        <v>208471.07</v>
      </c>
      <c r="I380" s="2">
        <v>44169</v>
      </c>
      <c r="J380" s="2">
        <v>44533</v>
      </c>
      <c r="K380">
        <v>0</v>
      </c>
    </row>
    <row r="381" spans="1:11" ht="195" x14ac:dyDescent="0.25">
      <c r="A381" t="str">
        <f>"816421180B"</f>
        <v>816421180B</v>
      </c>
      <c r="B381" t="str">
        <f t="shared" si="5"/>
        <v>06363391001</v>
      </c>
      <c r="C381" t="s">
        <v>16</v>
      </c>
      <c r="D381" t="s">
        <v>866</v>
      </c>
      <c r="E381" t="s">
        <v>70</v>
      </c>
      <c r="F381" s="1" t="s">
        <v>867</v>
      </c>
      <c r="G381" t="s">
        <v>865</v>
      </c>
      <c r="H381">
        <v>250319.95</v>
      </c>
      <c r="I381" s="2">
        <v>44169</v>
      </c>
      <c r="J381" s="2">
        <v>44533</v>
      </c>
      <c r="K381">
        <v>0</v>
      </c>
    </row>
    <row r="382" spans="1:11" ht="270" x14ac:dyDescent="0.25">
      <c r="A382" t="str">
        <f>"8164217CFD"</f>
        <v>8164217CFD</v>
      </c>
      <c r="B382" t="str">
        <f t="shared" si="5"/>
        <v>06363391001</v>
      </c>
      <c r="C382" t="s">
        <v>16</v>
      </c>
      <c r="D382" t="s">
        <v>868</v>
      </c>
      <c r="E382" t="s">
        <v>70</v>
      </c>
      <c r="F382" s="1" t="s">
        <v>869</v>
      </c>
      <c r="G382" t="s">
        <v>865</v>
      </c>
      <c r="H382">
        <v>53383.5</v>
      </c>
      <c r="I382" s="2">
        <v>44169</v>
      </c>
      <c r="J382" s="2">
        <v>44533</v>
      </c>
      <c r="K382">
        <v>0</v>
      </c>
    </row>
    <row r="383" spans="1:11" ht="360" x14ac:dyDescent="0.25">
      <c r="A383" t="str">
        <f>"8164220F76"</f>
        <v>8164220F76</v>
      </c>
      <c r="B383" t="str">
        <f t="shared" si="5"/>
        <v>06363391001</v>
      </c>
      <c r="C383" t="s">
        <v>16</v>
      </c>
      <c r="D383" t="s">
        <v>870</v>
      </c>
      <c r="E383" t="s">
        <v>70</v>
      </c>
      <c r="F383" s="1" t="s">
        <v>871</v>
      </c>
      <c r="G383" t="s">
        <v>865</v>
      </c>
      <c r="H383">
        <v>117433.73</v>
      </c>
      <c r="I383" s="2">
        <v>44169</v>
      </c>
      <c r="J383" s="2">
        <v>44533</v>
      </c>
      <c r="K383">
        <v>0</v>
      </c>
    </row>
    <row r="384" spans="1:11" ht="360" x14ac:dyDescent="0.25">
      <c r="A384" t="str">
        <f>"81642242C7"</f>
        <v>81642242C7</v>
      </c>
      <c r="B384" t="str">
        <f t="shared" si="5"/>
        <v>06363391001</v>
      </c>
      <c r="C384" t="s">
        <v>16</v>
      </c>
      <c r="D384" t="s">
        <v>872</v>
      </c>
      <c r="E384" t="s">
        <v>70</v>
      </c>
      <c r="F384" s="1" t="s">
        <v>871</v>
      </c>
      <c r="G384" t="s">
        <v>865</v>
      </c>
      <c r="H384">
        <v>58927.199999999997</v>
      </c>
      <c r="I384" s="2">
        <v>44169</v>
      </c>
      <c r="J384" s="2">
        <v>44533</v>
      </c>
      <c r="K384">
        <v>0</v>
      </c>
    </row>
    <row r="385" spans="1:11" ht="225" x14ac:dyDescent="0.25">
      <c r="A385" t="str">
        <f>"8164253AB3"</f>
        <v>8164253AB3</v>
      </c>
      <c r="B385" t="str">
        <f t="shared" si="5"/>
        <v>06363391001</v>
      </c>
      <c r="C385" t="s">
        <v>16</v>
      </c>
      <c r="D385" t="s">
        <v>873</v>
      </c>
      <c r="E385" t="s">
        <v>70</v>
      </c>
      <c r="F385" s="1" t="s">
        <v>874</v>
      </c>
      <c r="G385" t="s">
        <v>865</v>
      </c>
      <c r="H385">
        <v>70133.5</v>
      </c>
      <c r="I385" s="2">
        <v>44169</v>
      </c>
      <c r="J385" s="2">
        <v>44533</v>
      </c>
      <c r="K385">
        <v>0</v>
      </c>
    </row>
    <row r="386" spans="1:11" ht="195" x14ac:dyDescent="0.25">
      <c r="A386" t="str">
        <f>"8164216C2A"</f>
        <v>8164216C2A</v>
      </c>
      <c r="B386" t="str">
        <f t="shared" si="5"/>
        <v>06363391001</v>
      </c>
      <c r="C386" t="s">
        <v>16</v>
      </c>
      <c r="D386" t="s">
        <v>875</v>
      </c>
      <c r="E386" t="s">
        <v>70</v>
      </c>
      <c r="F386" s="1" t="s">
        <v>867</v>
      </c>
      <c r="G386" t="s">
        <v>876</v>
      </c>
      <c r="H386">
        <v>147101.35999999999</v>
      </c>
      <c r="I386" s="2">
        <v>44111</v>
      </c>
      <c r="J386" s="2">
        <v>44475</v>
      </c>
      <c r="K386">
        <v>0</v>
      </c>
    </row>
    <row r="387" spans="1:11" ht="409.5" x14ac:dyDescent="0.25">
      <c r="A387" t="str">
        <f>"81642296E6"</f>
        <v>81642296E6</v>
      </c>
      <c r="B387" t="str">
        <f t="shared" ref="B387:B435" si="6">"06363391001"</f>
        <v>06363391001</v>
      </c>
      <c r="C387" t="s">
        <v>16</v>
      </c>
      <c r="D387" t="s">
        <v>877</v>
      </c>
      <c r="E387" t="s">
        <v>70</v>
      </c>
      <c r="F387" s="1" t="s">
        <v>878</v>
      </c>
      <c r="G387" t="s">
        <v>879</v>
      </c>
      <c r="H387">
        <v>128291.5</v>
      </c>
      <c r="I387" s="2">
        <v>44089</v>
      </c>
      <c r="J387" s="2">
        <v>44453</v>
      </c>
      <c r="K387">
        <v>0</v>
      </c>
    </row>
    <row r="388" spans="1:11" ht="300" x14ac:dyDescent="0.25">
      <c r="A388" t="str">
        <f>"8164236CAB"</f>
        <v>8164236CAB</v>
      </c>
      <c r="B388" t="str">
        <f t="shared" si="6"/>
        <v>06363391001</v>
      </c>
      <c r="C388" t="s">
        <v>16</v>
      </c>
      <c r="D388" t="s">
        <v>880</v>
      </c>
      <c r="E388" t="s">
        <v>70</v>
      </c>
      <c r="F388" s="1" t="s">
        <v>881</v>
      </c>
      <c r="G388" t="s">
        <v>842</v>
      </c>
      <c r="H388">
        <v>72402.2</v>
      </c>
      <c r="I388" s="2">
        <v>44090</v>
      </c>
      <c r="J388" s="2">
        <v>44454</v>
      </c>
      <c r="K388">
        <v>0</v>
      </c>
    </row>
    <row r="389" spans="1:11" ht="300" x14ac:dyDescent="0.25">
      <c r="A389" t="str">
        <f>"8164240FF7"</f>
        <v>8164240FF7</v>
      </c>
      <c r="B389" t="str">
        <f t="shared" si="6"/>
        <v>06363391001</v>
      </c>
      <c r="C389" t="s">
        <v>16</v>
      </c>
      <c r="D389" t="s">
        <v>882</v>
      </c>
      <c r="E389" t="s">
        <v>70</v>
      </c>
      <c r="F389" s="1" t="s">
        <v>881</v>
      </c>
      <c r="G389" t="s">
        <v>842</v>
      </c>
      <c r="H389">
        <v>169887.69</v>
      </c>
      <c r="I389" s="2">
        <v>44090</v>
      </c>
      <c r="J389" s="2">
        <v>44454</v>
      </c>
      <c r="K389">
        <v>0</v>
      </c>
    </row>
    <row r="390" spans="1:11" ht="225" x14ac:dyDescent="0.25">
      <c r="A390" t="str">
        <f>"8164243275"</f>
        <v>8164243275</v>
      </c>
      <c r="B390" t="str">
        <f t="shared" si="6"/>
        <v>06363391001</v>
      </c>
      <c r="C390" t="s">
        <v>16</v>
      </c>
      <c r="D390" t="s">
        <v>883</v>
      </c>
      <c r="E390" t="s">
        <v>70</v>
      </c>
      <c r="F390" s="1" t="s">
        <v>874</v>
      </c>
      <c r="G390" t="s">
        <v>842</v>
      </c>
      <c r="H390">
        <v>66212.06</v>
      </c>
      <c r="I390" s="2">
        <v>44090</v>
      </c>
      <c r="J390" s="2">
        <v>44454</v>
      </c>
      <c r="K390">
        <v>0</v>
      </c>
    </row>
    <row r="391" spans="1:11" ht="300" x14ac:dyDescent="0.25">
      <c r="A391" t="str">
        <f>"81642464EE"</f>
        <v>81642464EE</v>
      </c>
      <c r="B391" t="str">
        <f t="shared" si="6"/>
        <v>06363391001</v>
      </c>
      <c r="C391" t="s">
        <v>16</v>
      </c>
      <c r="D391" t="s">
        <v>884</v>
      </c>
      <c r="E391" t="s">
        <v>70</v>
      </c>
      <c r="F391" s="1" t="s">
        <v>881</v>
      </c>
      <c r="G391" t="s">
        <v>842</v>
      </c>
      <c r="H391">
        <v>128976.65</v>
      </c>
      <c r="I391" s="2">
        <v>44090</v>
      </c>
      <c r="J391" s="2">
        <v>44454</v>
      </c>
      <c r="K391">
        <v>0</v>
      </c>
    </row>
    <row r="392" spans="1:11" ht="225" x14ac:dyDescent="0.25">
      <c r="A392" t="str">
        <f>"8164259FA5"</f>
        <v>8164259FA5</v>
      </c>
      <c r="B392" t="str">
        <f t="shared" si="6"/>
        <v>06363391001</v>
      </c>
      <c r="C392" t="s">
        <v>16</v>
      </c>
      <c r="D392" t="s">
        <v>885</v>
      </c>
      <c r="E392" t="s">
        <v>70</v>
      </c>
      <c r="F392" s="1" t="s">
        <v>874</v>
      </c>
      <c r="G392" t="s">
        <v>842</v>
      </c>
      <c r="H392">
        <v>157235.1</v>
      </c>
      <c r="I392" s="2">
        <v>44090</v>
      </c>
      <c r="J392" s="2">
        <v>44454</v>
      </c>
      <c r="K392">
        <v>0</v>
      </c>
    </row>
    <row r="393" spans="1:11" ht="165" x14ac:dyDescent="0.25">
      <c r="A393" t="str">
        <f>"0000000000"</f>
        <v>0000000000</v>
      </c>
      <c r="B393" t="str">
        <f t="shared" si="6"/>
        <v>06363391001</v>
      </c>
      <c r="C393" t="s">
        <v>16</v>
      </c>
      <c r="D393" t="s">
        <v>886</v>
      </c>
      <c r="E393" t="s">
        <v>40</v>
      </c>
      <c r="F393" s="1" t="s">
        <v>309</v>
      </c>
      <c r="G393" t="s">
        <v>310</v>
      </c>
      <c r="H393">
        <v>750</v>
      </c>
      <c r="I393" s="2">
        <v>44197</v>
      </c>
      <c r="J393" s="2">
        <v>44561</v>
      </c>
      <c r="K393">
        <v>0</v>
      </c>
    </row>
    <row r="394" spans="1:11" ht="75" x14ac:dyDescent="0.25">
      <c r="A394" t="str">
        <f>"Z822E9E208"</f>
        <v>Z822E9E208</v>
      </c>
      <c r="B394" t="str">
        <f t="shared" si="6"/>
        <v>06363391001</v>
      </c>
      <c r="C394" t="s">
        <v>16</v>
      </c>
      <c r="D394" t="s">
        <v>887</v>
      </c>
      <c r="E394" t="s">
        <v>40</v>
      </c>
      <c r="F394" s="1" t="s">
        <v>888</v>
      </c>
      <c r="G394" t="s">
        <v>889</v>
      </c>
      <c r="H394">
        <v>305</v>
      </c>
      <c r="I394" s="2">
        <v>44111</v>
      </c>
      <c r="J394" s="2">
        <v>44123</v>
      </c>
      <c r="K394">
        <v>0</v>
      </c>
    </row>
    <row r="395" spans="1:11" ht="120" x14ac:dyDescent="0.25">
      <c r="A395" t="str">
        <f>"Z832F7D044"</f>
        <v>Z832F7D044</v>
      </c>
      <c r="B395" t="str">
        <f t="shared" si="6"/>
        <v>06363391001</v>
      </c>
      <c r="C395" t="s">
        <v>16</v>
      </c>
      <c r="D395" t="s">
        <v>890</v>
      </c>
      <c r="E395" t="s">
        <v>40</v>
      </c>
      <c r="F395" s="1" t="s">
        <v>891</v>
      </c>
      <c r="G395" t="s">
        <v>892</v>
      </c>
      <c r="H395">
        <v>334</v>
      </c>
      <c r="I395" s="2">
        <v>44196</v>
      </c>
      <c r="J395" s="2">
        <v>44561</v>
      </c>
      <c r="K395">
        <v>334</v>
      </c>
    </row>
    <row r="396" spans="1:11" ht="165" x14ac:dyDescent="0.25">
      <c r="A396" t="str">
        <f>"ZEF2FB6A95"</f>
        <v>ZEF2FB6A95</v>
      </c>
      <c r="B396" t="str">
        <f t="shared" si="6"/>
        <v>06363391001</v>
      </c>
      <c r="C396" t="s">
        <v>16</v>
      </c>
      <c r="D396" t="s">
        <v>893</v>
      </c>
      <c r="E396" t="s">
        <v>40</v>
      </c>
      <c r="F396" s="1" t="s">
        <v>771</v>
      </c>
      <c r="G396" t="s">
        <v>772</v>
      </c>
      <c r="H396">
        <v>107.1</v>
      </c>
      <c r="I396" s="2">
        <v>44176</v>
      </c>
      <c r="J396" s="2">
        <v>44187</v>
      </c>
      <c r="K396">
        <v>0</v>
      </c>
    </row>
    <row r="397" spans="1:11" ht="90" x14ac:dyDescent="0.25">
      <c r="A397" t="str">
        <f>"ZE12FB6ABB"</f>
        <v>ZE12FB6ABB</v>
      </c>
      <c r="B397" t="str">
        <f t="shared" si="6"/>
        <v>06363391001</v>
      </c>
      <c r="C397" t="s">
        <v>16</v>
      </c>
      <c r="D397" t="s">
        <v>894</v>
      </c>
      <c r="E397" t="s">
        <v>40</v>
      </c>
      <c r="F397" s="1" t="s">
        <v>289</v>
      </c>
      <c r="G397" t="s">
        <v>290</v>
      </c>
      <c r="H397">
        <v>180</v>
      </c>
      <c r="I397" s="2">
        <v>44197</v>
      </c>
      <c r="J397" s="2">
        <v>44561</v>
      </c>
      <c r="K397">
        <v>180</v>
      </c>
    </row>
    <row r="398" spans="1:11" ht="105" x14ac:dyDescent="0.25">
      <c r="A398" t="str">
        <f>"Z032FB6AB4"</f>
        <v>Z032FB6AB4</v>
      </c>
      <c r="B398" t="str">
        <f t="shared" si="6"/>
        <v>06363391001</v>
      </c>
      <c r="C398" t="s">
        <v>16</v>
      </c>
      <c r="D398" t="s">
        <v>280</v>
      </c>
      <c r="E398" t="s">
        <v>40</v>
      </c>
      <c r="F398" s="1" t="s">
        <v>291</v>
      </c>
      <c r="G398" t="s">
        <v>292</v>
      </c>
      <c r="H398">
        <v>6600</v>
      </c>
      <c r="I398" s="2">
        <v>44197</v>
      </c>
      <c r="J398" s="2">
        <v>44561</v>
      </c>
      <c r="K398">
        <v>0</v>
      </c>
    </row>
    <row r="399" spans="1:11" ht="120" x14ac:dyDescent="0.25">
      <c r="A399" t="str">
        <f>"Z8D2FB6AA4"</f>
        <v>Z8D2FB6AA4</v>
      </c>
      <c r="B399" t="str">
        <f t="shared" si="6"/>
        <v>06363391001</v>
      </c>
      <c r="C399" t="s">
        <v>16</v>
      </c>
      <c r="D399" t="s">
        <v>280</v>
      </c>
      <c r="E399" t="s">
        <v>40</v>
      </c>
      <c r="F399" s="1" t="s">
        <v>276</v>
      </c>
      <c r="G399" t="s">
        <v>277</v>
      </c>
      <c r="H399">
        <v>4000</v>
      </c>
      <c r="I399" s="2">
        <v>44197</v>
      </c>
      <c r="J399" s="2">
        <v>44561</v>
      </c>
      <c r="K399">
        <v>0</v>
      </c>
    </row>
    <row r="400" spans="1:11" ht="165" x14ac:dyDescent="0.25">
      <c r="A400" t="str">
        <f>"Z202FB6AAD"</f>
        <v>Z202FB6AAD</v>
      </c>
      <c r="B400" t="str">
        <f t="shared" si="6"/>
        <v>06363391001</v>
      </c>
      <c r="C400" t="s">
        <v>16</v>
      </c>
      <c r="D400" t="s">
        <v>280</v>
      </c>
      <c r="E400" t="s">
        <v>40</v>
      </c>
      <c r="F400" s="1" t="s">
        <v>281</v>
      </c>
      <c r="G400" t="s">
        <v>282</v>
      </c>
      <c r="H400">
        <v>748.8</v>
      </c>
      <c r="I400" s="2">
        <v>44197</v>
      </c>
      <c r="J400" s="2">
        <v>44561</v>
      </c>
      <c r="K400">
        <v>0</v>
      </c>
    </row>
    <row r="401" spans="1:11" ht="150" x14ac:dyDescent="0.25">
      <c r="A401" t="str">
        <f>"Z6A2F6B022"</f>
        <v>Z6A2F6B022</v>
      </c>
      <c r="B401" t="str">
        <f t="shared" si="6"/>
        <v>06363391001</v>
      </c>
      <c r="C401" t="s">
        <v>16</v>
      </c>
      <c r="D401" t="s">
        <v>895</v>
      </c>
      <c r="E401" t="s">
        <v>40</v>
      </c>
      <c r="F401" s="1" t="s">
        <v>351</v>
      </c>
      <c r="G401" t="s">
        <v>352</v>
      </c>
      <c r="H401">
        <v>450.58</v>
      </c>
      <c r="I401" s="2">
        <v>44161</v>
      </c>
      <c r="J401" s="2">
        <v>44181</v>
      </c>
      <c r="K401">
        <v>0</v>
      </c>
    </row>
    <row r="402" spans="1:11" ht="120" x14ac:dyDescent="0.25">
      <c r="A402" t="str">
        <f>"85488004EE"</f>
        <v>85488004EE</v>
      </c>
      <c r="B402" t="str">
        <f t="shared" si="6"/>
        <v>06363391001</v>
      </c>
      <c r="C402" t="s">
        <v>16</v>
      </c>
      <c r="D402" t="s">
        <v>896</v>
      </c>
      <c r="E402" t="s">
        <v>18</v>
      </c>
      <c r="F402" s="1" t="s">
        <v>897</v>
      </c>
      <c r="G402" t="s">
        <v>898</v>
      </c>
      <c r="H402">
        <v>64000</v>
      </c>
      <c r="I402" s="2">
        <v>44174</v>
      </c>
      <c r="J402" s="2">
        <v>44189</v>
      </c>
      <c r="K402">
        <v>0</v>
      </c>
    </row>
    <row r="403" spans="1:11" ht="75" x14ac:dyDescent="0.25">
      <c r="A403" t="str">
        <f>"8549156AB4"</f>
        <v>8549156AB4</v>
      </c>
      <c r="B403" t="str">
        <f t="shared" si="6"/>
        <v>06363391001</v>
      </c>
      <c r="C403" t="s">
        <v>16</v>
      </c>
      <c r="D403" t="s">
        <v>896</v>
      </c>
      <c r="E403" t="s">
        <v>18</v>
      </c>
      <c r="F403" s="1" t="s">
        <v>899</v>
      </c>
      <c r="G403" t="s">
        <v>900</v>
      </c>
      <c r="H403">
        <v>57868.800000000003</v>
      </c>
      <c r="I403" s="2">
        <v>44174</v>
      </c>
      <c r="J403" s="2">
        <v>44189</v>
      </c>
      <c r="K403">
        <v>0</v>
      </c>
    </row>
    <row r="404" spans="1:11" ht="165" x14ac:dyDescent="0.25">
      <c r="A404" t="str">
        <f>"8549176B35"</f>
        <v>8549176B35</v>
      </c>
      <c r="B404" t="str">
        <f t="shared" si="6"/>
        <v>06363391001</v>
      </c>
      <c r="C404" t="s">
        <v>16</v>
      </c>
      <c r="D404" t="s">
        <v>896</v>
      </c>
      <c r="E404" t="s">
        <v>18</v>
      </c>
      <c r="F404" s="1" t="s">
        <v>901</v>
      </c>
      <c r="G404" t="s">
        <v>902</v>
      </c>
      <c r="H404">
        <v>57888</v>
      </c>
      <c r="I404" s="2">
        <v>44174</v>
      </c>
      <c r="J404" s="2">
        <v>44189</v>
      </c>
      <c r="K404">
        <v>20770</v>
      </c>
    </row>
    <row r="405" spans="1:11" ht="75" x14ac:dyDescent="0.25">
      <c r="A405" t="str">
        <f>"8570993F29"</f>
        <v>8570993F29</v>
      </c>
      <c r="B405" t="str">
        <f t="shared" si="6"/>
        <v>06363391001</v>
      </c>
      <c r="C405" t="s">
        <v>16</v>
      </c>
      <c r="D405" t="s">
        <v>903</v>
      </c>
      <c r="E405" t="s">
        <v>40</v>
      </c>
      <c r="F405" s="1" t="s">
        <v>904</v>
      </c>
      <c r="G405" t="s">
        <v>905</v>
      </c>
      <c r="H405">
        <v>65315.22</v>
      </c>
      <c r="I405" s="2">
        <v>44186</v>
      </c>
      <c r="J405" s="2">
        <v>44286</v>
      </c>
      <c r="K405">
        <v>0</v>
      </c>
    </row>
    <row r="406" spans="1:11" ht="210" x14ac:dyDescent="0.25">
      <c r="A406" t="str">
        <f>"Z762FEBA6E"</f>
        <v>Z762FEBA6E</v>
      </c>
      <c r="B406" t="str">
        <f t="shared" si="6"/>
        <v>06363391001</v>
      </c>
      <c r="C406" t="s">
        <v>16</v>
      </c>
      <c r="D406" t="s">
        <v>906</v>
      </c>
      <c r="E406" t="s">
        <v>40</v>
      </c>
      <c r="F406" s="1" t="s">
        <v>123</v>
      </c>
      <c r="G406" t="s">
        <v>124</v>
      </c>
      <c r="H406">
        <v>245.7</v>
      </c>
      <c r="I406" s="2">
        <v>44197</v>
      </c>
      <c r="J406" s="2">
        <v>44561</v>
      </c>
      <c r="K406">
        <v>0</v>
      </c>
    </row>
    <row r="407" spans="1:11" ht="60" x14ac:dyDescent="0.25">
      <c r="A407" t="str">
        <f>"8571073132"</f>
        <v>8571073132</v>
      </c>
      <c r="B407" t="str">
        <f t="shared" si="6"/>
        <v>06363391001</v>
      </c>
      <c r="C407" t="s">
        <v>16</v>
      </c>
      <c r="D407" t="s">
        <v>280</v>
      </c>
      <c r="E407" t="s">
        <v>53</v>
      </c>
      <c r="F407" s="1" t="s">
        <v>437</v>
      </c>
      <c r="G407" t="s">
        <v>438</v>
      </c>
      <c r="H407">
        <v>56995</v>
      </c>
      <c r="I407" s="2">
        <v>44197</v>
      </c>
      <c r="J407" s="2">
        <v>44561</v>
      </c>
      <c r="K407">
        <v>0</v>
      </c>
    </row>
    <row r="408" spans="1:11" ht="105" x14ac:dyDescent="0.25">
      <c r="A408" t="str">
        <f>"ZA82FD610E"</f>
        <v>ZA82FD610E</v>
      </c>
      <c r="B408" t="str">
        <f t="shared" si="6"/>
        <v>06363391001</v>
      </c>
      <c r="C408" t="s">
        <v>16</v>
      </c>
      <c r="D408" t="s">
        <v>907</v>
      </c>
      <c r="E408" t="s">
        <v>40</v>
      </c>
      <c r="F408" s="1" t="s">
        <v>142</v>
      </c>
      <c r="G408" t="s">
        <v>143</v>
      </c>
      <c r="H408">
        <v>20688</v>
      </c>
      <c r="I408" s="2">
        <v>43831</v>
      </c>
      <c r="J408" s="2">
        <v>44561</v>
      </c>
      <c r="K408">
        <v>0</v>
      </c>
    </row>
    <row r="409" spans="1:11" ht="150" x14ac:dyDescent="0.25">
      <c r="A409" t="str">
        <f>"Z992FB69F4"</f>
        <v>Z992FB69F4</v>
      </c>
      <c r="B409" t="str">
        <f t="shared" si="6"/>
        <v>06363391001</v>
      </c>
      <c r="C409" t="s">
        <v>16</v>
      </c>
      <c r="D409" t="s">
        <v>908</v>
      </c>
      <c r="E409" t="s">
        <v>40</v>
      </c>
      <c r="F409" s="1" t="s">
        <v>447</v>
      </c>
      <c r="G409" t="s">
        <v>448</v>
      </c>
      <c r="H409">
        <v>6000</v>
      </c>
      <c r="I409" s="2">
        <v>43831</v>
      </c>
      <c r="J409" s="2">
        <v>44561</v>
      </c>
      <c r="K409">
        <v>0</v>
      </c>
    </row>
    <row r="410" spans="1:11" ht="409.5" x14ac:dyDescent="0.25">
      <c r="A410" t="str">
        <f>"75790730E6"</f>
        <v>75790730E6</v>
      </c>
      <c r="B410" t="str">
        <f t="shared" si="6"/>
        <v>06363391001</v>
      </c>
      <c r="C410" t="s">
        <v>16</v>
      </c>
      <c r="D410" t="s">
        <v>909</v>
      </c>
      <c r="E410" t="s">
        <v>70</v>
      </c>
      <c r="F410" s="1" t="s">
        <v>910</v>
      </c>
      <c r="G410" t="s">
        <v>518</v>
      </c>
      <c r="H410">
        <v>1710134.75</v>
      </c>
      <c r="I410" s="2">
        <v>44187</v>
      </c>
      <c r="J410" s="2">
        <v>45647</v>
      </c>
      <c r="K410">
        <v>0</v>
      </c>
    </row>
    <row r="411" spans="1:11" ht="409.5" x14ac:dyDescent="0.25">
      <c r="A411" t="str">
        <f>"75790795D8"</f>
        <v>75790795D8</v>
      </c>
      <c r="B411" t="str">
        <f t="shared" si="6"/>
        <v>06363391001</v>
      </c>
      <c r="C411" t="s">
        <v>16</v>
      </c>
      <c r="D411" t="s">
        <v>911</v>
      </c>
      <c r="E411" t="s">
        <v>70</v>
      </c>
      <c r="F411" s="1" t="s">
        <v>912</v>
      </c>
      <c r="G411" t="s">
        <v>518</v>
      </c>
      <c r="H411">
        <v>1636654.95</v>
      </c>
      <c r="I411" s="2">
        <v>44185</v>
      </c>
      <c r="J411" s="2">
        <v>45647</v>
      </c>
      <c r="K411">
        <v>0</v>
      </c>
    </row>
    <row r="412" spans="1:11" ht="409.5" x14ac:dyDescent="0.25">
      <c r="A412" t="str">
        <f>"75790806AB"</f>
        <v>75790806AB</v>
      </c>
      <c r="B412" t="str">
        <f t="shared" si="6"/>
        <v>06363391001</v>
      </c>
      <c r="C412" t="s">
        <v>16</v>
      </c>
      <c r="D412" t="s">
        <v>913</v>
      </c>
      <c r="E412" t="s">
        <v>70</v>
      </c>
      <c r="F412" s="1" t="s">
        <v>914</v>
      </c>
      <c r="G412" t="s">
        <v>478</v>
      </c>
      <c r="H412">
        <v>1206220.81</v>
      </c>
      <c r="I412" s="2">
        <v>44187</v>
      </c>
      <c r="J412" s="2">
        <v>45647</v>
      </c>
      <c r="K412">
        <v>0</v>
      </c>
    </row>
    <row r="413" spans="1:11" ht="409.5" x14ac:dyDescent="0.25">
      <c r="A413" t="str">
        <f>"7579082851"</f>
        <v>7579082851</v>
      </c>
      <c r="B413" t="str">
        <f t="shared" si="6"/>
        <v>06363391001</v>
      </c>
      <c r="C413" t="s">
        <v>16</v>
      </c>
      <c r="D413" t="s">
        <v>915</v>
      </c>
      <c r="E413" t="s">
        <v>70</v>
      </c>
      <c r="F413" s="1" t="s">
        <v>916</v>
      </c>
      <c r="G413" t="s">
        <v>917</v>
      </c>
      <c r="H413">
        <v>1689695.14</v>
      </c>
      <c r="I413" s="2">
        <v>44188</v>
      </c>
      <c r="J413" s="2">
        <v>45648</v>
      </c>
      <c r="K413">
        <v>0</v>
      </c>
    </row>
    <row r="414" spans="1:11" ht="409.5" x14ac:dyDescent="0.25">
      <c r="A414" t="str">
        <f>"7579083924"</f>
        <v>7579083924</v>
      </c>
      <c r="B414" t="str">
        <f t="shared" si="6"/>
        <v>06363391001</v>
      </c>
      <c r="C414" t="s">
        <v>16</v>
      </c>
      <c r="D414" t="s">
        <v>918</v>
      </c>
      <c r="E414" t="s">
        <v>70</v>
      </c>
      <c r="F414" s="1" t="s">
        <v>919</v>
      </c>
      <c r="G414" t="s">
        <v>920</v>
      </c>
      <c r="H414">
        <v>658659.68000000005</v>
      </c>
      <c r="I414" s="2">
        <v>44188</v>
      </c>
      <c r="J414" s="2">
        <v>45648</v>
      </c>
      <c r="K414">
        <v>0</v>
      </c>
    </row>
    <row r="415" spans="1:11" ht="105" x14ac:dyDescent="0.25">
      <c r="A415" t="str">
        <f>"8550150EF9"</f>
        <v>8550150EF9</v>
      </c>
      <c r="B415" t="str">
        <f t="shared" si="6"/>
        <v>06363391001</v>
      </c>
      <c r="C415" t="s">
        <v>16</v>
      </c>
      <c r="D415" t="s">
        <v>921</v>
      </c>
      <c r="E415" t="s">
        <v>18</v>
      </c>
      <c r="F415" s="1" t="s">
        <v>922</v>
      </c>
      <c r="G415" t="s">
        <v>923</v>
      </c>
      <c r="H415">
        <v>1278018.3600000001</v>
      </c>
      <c r="I415" s="2">
        <v>44113</v>
      </c>
      <c r="J415" s="2">
        <v>44904</v>
      </c>
      <c r="K415">
        <v>0</v>
      </c>
    </row>
    <row r="416" spans="1:11" ht="90" x14ac:dyDescent="0.25">
      <c r="A416" t="str">
        <f>"8424919F15"</f>
        <v>8424919F15</v>
      </c>
      <c r="B416" t="str">
        <f t="shared" si="6"/>
        <v>06363391001</v>
      </c>
      <c r="C416" t="s">
        <v>16</v>
      </c>
      <c r="D416" t="s">
        <v>924</v>
      </c>
      <c r="E416" t="s">
        <v>18</v>
      </c>
      <c r="F416" s="1" t="s">
        <v>116</v>
      </c>
      <c r="G416" t="s">
        <v>117</v>
      </c>
      <c r="H416">
        <v>10176.959999999999</v>
      </c>
      <c r="I416" s="2">
        <v>44081</v>
      </c>
      <c r="K416">
        <v>0</v>
      </c>
    </row>
    <row r="417" spans="1:11" ht="90" x14ac:dyDescent="0.25">
      <c r="A417" t="str">
        <f>"842490538B"</f>
        <v>842490538B</v>
      </c>
      <c r="B417" t="str">
        <f t="shared" si="6"/>
        <v>06363391001</v>
      </c>
      <c r="C417" t="s">
        <v>16</v>
      </c>
      <c r="D417" t="s">
        <v>925</v>
      </c>
      <c r="E417" t="s">
        <v>18</v>
      </c>
      <c r="F417" s="1" t="s">
        <v>116</v>
      </c>
      <c r="G417" t="s">
        <v>117</v>
      </c>
      <c r="H417">
        <v>12953.76</v>
      </c>
      <c r="I417" s="2">
        <v>44081</v>
      </c>
      <c r="K417">
        <v>0</v>
      </c>
    </row>
    <row r="418" spans="1:11" x14ac:dyDescent="0.25">
      <c r="A418" t="str">
        <f>"8418555B59"</f>
        <v>8418555B59</v>
      </c>
      <c r="B418" t="str">
        <f t="shared" si="6"/>
        <v>06363391001</v>
      </c>
      <c r="C418" t="s">
        <v>16</v>
      </c>
      <c r="D418" t="s">
        <v>926</v>
      </c>
      <c r="E418" t="s">
        <v>53</v>
      </c>
      <c r="H418">
        <v>0</v>
      </c>
      <c r="K418">
        <v>0</v>
      </c>
    </row>
    <row r="419" spans="1:11" ht="105" x14ac:dyDescent="0.25">
      <c r="A419" t="str">
        <f>"8539859296"</f>
        <v>8539859296</v>
      </c>
      <c r="B419" t="str">
        <f t="shared" si="6"/>
        <v>06363391001</v>
      </c>
      <c r="C419" t="s">
        <v>16</v>
      </c>
      <c r="D419" t="s">
        <v>927</v>
      </c>
      <c r="E419" t="s">
        <v>18</v>
      </c>
      <c r="F419" s="1" t="s">
        <v>928</v>
      </c>
      <c r="G419" t="s">
        <v>929</v>
      </c>
      <c r="H419">
        <v>95668.5</v>
      </c>
      <c r="I419" s="2">
        <v>44228</v>
      </c>
      <c r="J419" s="2">
        <v>45322</v>
      </c>
      <c r="K419">
        <v>0</v>
      </c>
    </row>
    <row r="420" spans="1:11" ht="90" x14ac:dyDescent="0.25">
      <c r="A420" t="str">
        <f>"8256653599"</f>
        <v>8256653599</v>
      </c>
      <c r="B420" t="str">
        <f t="shared" si="6"/>
        <v>06363391001</v>
      </c>
      <c r="C420" t="s">
        <v>16</v>
      </c>
      <c r="D420" t="s">
        <v>930</v>
      </c>
      <c r="E420" t="s">
        <v>18</v>
      </c>
      <c r="F420" s="1" t="s">
        <v>116</v>
      </c>
      <c r="G420" t="s">
        <v>117</v>
      </c>
      <c r="H420">
        <v>10896.96</v>
      </c>
      <c r="I420" s="2">
        <v>44186</v>
      </c>
      <c r="J420" s="2">
        <v>45646</v>
      </c>
      <c r="K420">
        <v>0</v>
      </c>
    </row>
    <row r="421" spans="1:11" x14ac:dyDescent="0.25">
      <c r="A421" t="str">
        <f>"Z862F7D018"</f>
        <v>Z862F7D018</v>
      </c>
      <c r="B421" t="str">
        <f t="shared" si="6"/>
        <v>06363391001</v>
      </c>
      <c r="C421" t="s">
        <v>16</v>
      </c>
      <c r="D421" t="s">
        <v>931</v>
      </c>
      <c r="E421" t="s">
        <v>40</v>
      </c>
      <c r="H421">
        <v>0</v>
      </c>
      <c r="K421">
        <v>0</v>
      </c>
    </row>
    <row r="422" spans="1:11" x14ac:dyDescent="0.25">
      <c r="A422" t="str">
        <f>"82743154BE"</f>
        <v>82743154BE</v>
      </c>
      <c r="B422" t="str">
        <f t="shared" si="6"/>
        <v>06363391001</v>
      </c>
      <c r="C422" t="s">
        <v>16</v>
      </c>
      <c r="D422" t="s">
        <v>932</v>
      </c>
      <c r="E422" t="s">
        <v>70</v>
      </c>
      <c r="H422">
        <v>0</v>
      </c>
      <c r="K422">
        <v>0</v>
      </c>
    </row>
    <row r="423" spans="1:11" ht="105" x14ac:dyDescent="0.25">
      <c r="A423" t="str">
        <f>"Z312EBCFED"</f>
        <v>Z312EBCFED</v>
      </c>
      <c r="B423" t="str">
        <f t="shared" si="6"/>
        <v>06363391001</v>
      </c>
      <c r="C423" t="s">
        <v>16</v>
      </c>
      <c r="D423" t="s">
        <v>933</v>
      </c>
      <c r="E423" t="s">
        <v>40</v>
      </c>
      <c r="F423" s="1" t="s">
        <v>934</v>
      </c>
      <c r="G423" t="s">
        <v>935</v>
      </c>
      <c r="H423">
        <v>9960</v>
      </c>
      <c r="I423" s="2">
        <v>44117</v>
      </c>
      <c r="J423" s="2">
        <v>45212</v>
      </c>
      <c r="K423">
        <v>0</v>
      </c>
    </row>
    <row r="424" spans="1:11" ht="90" x14ac:dyDescent="0.25">
      <c r="A424" t="str">
        <f>"8256613497"</f>
        <v>8256613497</v>
      </c>
      <c r="B424" t="str">
        <f t="shared" si="6"/>
        <v>06363391001</v>
      </c>
      <c r="C424" t="s">
        <v>16</v>
      </c>
      <c r="D424" t="s">
        <v>936</v>
      </c>
      <c r="E424" t="s">
        <v>18</v>
      </c>
      <c r="F424" s="1" t="s">
        <v>116</v>
      </c>
      <c r="G424" t="s">
        <v>117</v>
      </c>
      <c r="H424">
        <v>13673.76</v>
      </c>
      <c r="I424" s="2">
        <v>43915</v>
      </c>
      <c r="K424">
        <v>0</v>
      </c>
    </row>
    <row r="425" spans="1:11" ht="90" x14ac:dyDescent="0.25">
      <c r="A425" t="str">
        <f>"ZAE2EA3E4A"</f>
        <v>ZAE2EA3E4A</v>
      </c>
      <c r="B425" t="str">
        <f t="shared" si="6"/>
        <v>06363391001</v>
      </c>
      <c r="C425" t="s">
        <v>16</v>
      </c>
      <c r="D425" t="s">
        <v>937</v>
      </c>
      <c r="E425" t="s">
        <v>40</v>
      </c>
      <c r="F425" s="1" t="s">
        <v>697</v>
      </c>
      <c r="G425" t="s">
        <v>698</v>
      </c>
      <c r="H425">
        <v>4980</v>
      </c>
      <c r="I425" s="2">
        <v>44111</v>
      </c>
      <c r="J425" s="2">
        <v>44196</v>
      </c>
      <c r="K425">
        <v>0</v>
      </c>
    </row>
    <row r="426" spans="1:11" ht="150" x14ac:dyDescent="0.25">
      <c r="A426" t="str">
        <f>"Z692D84FC4"</f>
        <v>Z692D84FC4</v>
      </c>
      <c r="B426" t="str">
        <f t="shared" si="6"/>
        <v>06363391001</v>
      </c>
      <c r="C426" t="s">
        <v>16</v>
      </c>
      <c r="D426" t="s">
        <v>938</v>
      </c>
      <c r="E426" t="s">
        <v>40</v>
      </c>
      <c r="F426" s="1" t="s">
        <v>939</v>
      </c>
      <c r="G426" t="s">
        <v>940</v>
      </c>
      <c r="H426">
        <v>180</v>
      </c>
      <c r="I426" s="2">
        <v>44028</v>
      </c>
      <c r="J426" s="2">
        <v>44196</v>
      </c>
      <c r="K426">
        <v>0</v>
      </c>
    </row>
    <row r="427" spans="1:11" x14ac:dyDescent="0.25">
      <c r="A427" t="str">
        <f>"82977564DE"</f>
        <v>82977564DE</v>
      </c>
      <c r="B427" t="str">
        <f t="shared" si="6"/>
        <v>06363391001</v>
      </c>
      <c r="C427" t="s">
        <v>16</v>
      </c>
      <c r="D427" t="s">
        <v>941</v>
      </c>
      <c r="E427" t="s">
        <v>53</v>
      </c>
      <c r="H427">
        <v>0</v>
      </c>
      <c r="K427">
        <v>0</v>
      </c>
    </row>
    <row r="428" spans="1:11" x14ac:dyDescent="0.25">
      <c r="A428" t="str">
        <f>"8456091B09"</f>
        <v>8456091B09</v>
      </c>
      <c r="B428" t="str">
        <f t="shared" si="6"/>
        <v>06363391001</v>
      </c>
      <c r="C428" t="s">
        <v>16</v>
      </c>
      <c r="D428" t="s">
        <v>942</v>
      </c>
      <c r="E428" t="s">
        <v>53</v>
      </c>
      <c r="H428">
        <v>0</v>
      </c>
      <c r="K428">
        <v>0</v>
      </c>
    </row>
    <row r="429" spans="1:11" x14ac:dyDescent="0.25">
      <c r="A429" t="str">
        <f>"85121310B8"</f>
        <v>85121310B8</v>
      </c>
      <c r="B429" t="str">
        <f t="shared" si="6"/>
        <v>06363391001</v>
      </c>
      <c r="C429" t="s">
        <v>16</v>
      </c>
      <c r="D429" t="s">
        <v>943</v>
      </c>
      <c r="E429" t="s">
        <v>53</v>
      </c>
      <c r="H429">
        <v>0</v>
      </c>
      <c r="K429">
        <v>0</v>
      </c>
    </row>
    <row r="430" spans="1:11" x14ac:dyDescent="0.25">
      <c r="A430" t="str">
        <f>"8561881FB3"</f>
        <v>8561881FB3</v>
      </c>
      <c r="B430" t="str">
        <f t="shared" si="6"/>
        <v>06363391001</v>
      </c>
      <c r="C430" t="s">
        <v>16</v>
      </c>
      <c r="D430" t="s">
        <v>944</v>
      </c>
      <c r="E430" t="s">
        <v>40</v>
      </c>
      <c r="H430">
        <v>0</v>
      </c>
      <c r="K430">
        <v>0</v>
      </c>
    </row>
    <row r="431" spans="1:11" x14ac:dyDescent="0.25">
      <c r="A431" t="str">
        <f>"Z302C15060"</f>
        <v>Z302C15060</v>
      </c>
      <c r="B431" t="str">
        <f t="shared" si="6"/>
        <v>06363391001</v>
      </c>
      <c r="C431" t="s">
        <v>16</v>
      </c>
      <c r="D431" t="s">
        <v>945</v>
      </c>
      <c r="E431" t="s">
        <v>53</v>
      </c>
      <c r="H431">
        <v>0</v>
      </c>
      <c r="K431">
        <v>0</v>
      </c>
    </row>
    <row r="432" spans="1:11" ht="375" x14ac:dyDescent="0.25">
      <c r="A432" t="str">
        <f>"8243582312"</f>
        <v>8243582312</v>
      </c>
      <c r="B432" t="str">
        <f t="shared" si="6"/>
        <v>06363391001</v>
      </c>
      <c r="C432" t="s">
        <v>16</v>
      </c>
      <c r="D432" t="s">
        <v>946</v>
      </c>
      <c r="E432" t="s">
        <v>53</v>
      </c>
      <c r="F432" s="1" t="s">
        <v>947</v>
      </c>
      <c r="G432" t="s">
        <v>948</v>
      </c>
      <c r="H432">
        <v>89542.29</v>
      </c>
      <c r="I432" s="2">
        <v>44083</v>
      </c>
      <c r="J432" s="2">
        <v>44338</v>
      </c>
      <c r="K432">
        <v>0</v>
      </c>
    </row>
    <row r="433" spans="1:11" x14ac:dyDescent="0.25">
      <c r="A433" t="str">
        <f>"82647764E9"</f>
        <v>82647764E9</v>
      </c>
      <c r="B433" t="str">
        <f t="shared" si="6"/>
        <v>06363391001</v>
      </c>
      <c r="C433" t="s">
        <v>16</v>
      </c>
      <c r="D433" t="s">
        <v>949</v>
      </c>
      <c r="E433" t="s">
        <v>70</v>
      </c>
      <c r="H433">
        <v>0</v>
      </c>
      <c r="K433">
        <v>0</v>
      </c>
    </row>
    <row r="434" spans="1:11" x14ac:dyDescent="0.25">
      <c r="A434" t="str">
        <f>"8157303363"</f>
        <v>8157303363</v>
      </c>
      <c r="B434" t="str">
        <f t="shared" si="6"/>
        <v>06363391001</v>
      </c>
      <c r="C434" t="s">
        <v>16</v>
      </c>
      <c r="D434" t="s">
        <v>950</v>
      </c>
      <c r="E434" t="s">
        <v>53</v>
      </c>
      <c r="H434">
        <v>0</v>
      </c>
      <c r="K434">
        <v>0</v>
      </c>
    </row>
    <row r="435" spans="1:11" x14ac:dyDescent="0.25">
      <c r="A435" t="str">
        <f>"845306169B"</f>
        <v>845306169B</v>
      </c>
      <c r="B435" t="str">
        <f t="shared" si="6"/>
        <v>06363391001</v>
      </c>
      <c r="C435" t="s">
        <v>16</v>
      </c>
      <c r="D435" t="s">
        <v>951</v>
      </c>
      <c r="E435" t="s">
        <v>18</v>
      </c>
      <c r="H435">
        <v>0</v>
      </c>
      <c r="K4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2021-03-18T11:14:49Z</dcterms:created>
  <dcterms:modified xsi:type="dcterms:W3CDTF">2021-03-18T11:16:25Z</dcterms:modified>
</cp:coreProperties>
</file>