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direzionicentrali" sheetId="1" r:id="rId1"/>
  </sheets>
  <calcPr calcId="145621"/>
</workbook>
</file>

<file path=xl/calcChain.xml><?xml version="1.0" encoding="utf-8"?>
<calcChain xmlns="http://schemas.openxmlformats.org/spreadsheetml/2006/main">
  <c r="B309" i="1" l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</calcChain>
</file>

<file path=xl/sharedStrings.xml><?xml version="1.0" encoding="utf-8"?>
<sst xmlns="http://schemas.openxmlformats.org/spreadsheetml/2006/main" count="1551" uniqueCount="757">
  <si>
    <t>Agenzia delle Entrate</t>
  </si>
  <si>
    <t>CF 06363391001</t>
  </si>
  <si>
    <t>Contratti di forniture, beni e servizi</t>
  </si>
  <si>
    <t>Anno 2016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</si>
  <si>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</si>
  <si>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</si>
  <si>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</si>
  <si>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</si>
  <si>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</si>
  <si>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</si>
  <si>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</si>
  <si>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</si>
  <si>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</si>
  <si>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</si>
  <si>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</si>
  <si>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DC Amministrazione, Pianificazione e Controllo</t>
  </si>
  <si>
    <t>Sondaggio congiunturale sullo stato del mercato immobiliare in Italia - gennaio 2016</t>
  </si>
  <si>
    <t>23-AFFIDAMENTO IN ECONOMIA - AFFIDAMENTO DIRETTO</t>
  </si>
  <si>
    <t xml:space="preserve">QUESTLAB SRL (CF: 03448440275)
</t>
  </si>
  <si>
    <t>QUESTLAB SRL (CF: 03448440275)</t>
  </si>
  <si>
    <t>Fornitura 10 termoconvettori portatili</t>
  </si>
  <si>
    <t xml:space="preserve">blu3 srl (CF: 07843401006)
EUROTECNO SRL (CF: 04585871009)
SONEPAR ITALIA SPA (CF: 00855330285)
</t>
  </si>
  <si>
    <t>EUROTECNO SRL (CF: 04585871009)</t>
  </si>
  <si>
    <t>Fornitura di n. 6 paia di guanti dielettrici per cabine elettriche</t>
  </si>
  <si>
    <t xml:space="preserve">ELLE ESSE CONFEZIONI S.R.L. (CF: 01724420409)
</t>
  </si>
  <si>
    <t>ELLE ESSE CONFEZIONI S.R.L. (CF: 01724420409)</t>
  </si>
  <si>
    <t>Interventi manutentivi sistemi di sicurezza presso le sedi centrali</t>
  </si>
  <si>
    <t xml:space="preserve">EASYCOM SISTEMI SRL (CF: 05814281001)
</t>
  </si>
  <si>
    <t>EASYCOM SISTEMI SRL (CF: 05814281001)</t>
  </si>
  <si>
    <t>ACQUISTO SW ACCA</t>
  </si>
  <si>
    <t>22-PROCEDURA NEGOZIATA DERIVANTE DA AVVISI CON CUI SI INDICE LA GARA</t>
  </si>
  <si>
    <t xml:space="preserve">  DESCOR S.R.L. (CF: 03929361008)
ONE TEAM (CF: 12272790150)
PAM UFFICIO (CF: 01261820839)
POWERMEDIA SRL (CF: 04440930826)
TECHNE SRL (CF: 01121580490)
</t>
  </si>
  <si>
    <t>PAM UFFICIO (CF: 01261820839)</t>
  </si>
  <si>
    <t>ACQUISTO 25 VIDEOPROIETTORI</t>
  </si>
  <si>
    <t xml:space="preserve">DATAMARKET (CF: 00884490673)
EUROTECNO SRL (CF: 04585871009)
SOLUZIONE UFFICIO S.R.L.  (CF: 02778750246)
STUDIO DI INFORMATICA SNC (CF: 01193630520)
TEAM OFFICE SRL  (CF: 04272801004)
VIRTUAL LOGIC SRL (CF: 03878640238)
</t>
  </si>
  <si>
    <t>TEAM OFFICE SRL  (CF: 04272801004)</t>
  </si>
  <si>
    <t>Acquisto sedia di evacuazione per la sede di Largo Leopardi</t>
  </si>
  <si>
    <t xml:space="preserve">Spencer italia srl (CF: 01633870348)
</t>
  </si>
  <si>
    <t>Spencer italia srl (CF: 01633870348)</t>
  </si>
  <si>
    <t>Gasolio per Largo Leopardi</t>
  </si>
  <si>
    <t>26-AFFIDAMENTO DIRETTO IN ADESIONE AD ACCORDO QUADRO/CONVENZIONE</t>
  </si>
  <si>
    <t xml:space="preserve">Repsol Italia Spa (CF: 00151550340)
</t>
  </si>
  <si>
    <t>Repsol Italia Spa (CF: 00151550340)</t>
  </si>
  <si>
    <t>HOTEL SAVOY - CONVENZIONE</t>
  </si>
  <si>
    <t xml:space="preserve">GAMBA PAOLA (CF: 00298500414)
</t>
  </si>
  <si>
    <t>GAMBA PAOLA (CF: 00298500414)</t>
  </si>
  <si>
    <t>HOTEL VITTORIA - CONVENZIONE</t>
  </si>
  <si>
    <t>HOTEL BONCONTE - CONVENZIONE</t>
  </si>
  <si>
    <t xml:space="preserve">TURIS.MAR.PI SRL (CF: 01776440586)
</t>
  </si>
  <si>
    <t>TURIS.MAR.PI SRL (CF: 01776440586)</t>
  </si>
  <si>
    <t>HOTEL DEI DUCHI - CONVENZIONE</t>
  </si>
  <si>
    <t>HOTEL SAN DOMENICO - CONVENZIONE</t>
  </si>
  <si>
    <t>HOTEL GALILEO - CONVENZIONE</t>
  </si>
  <si>
    <t xml:space="preserve">EUROHOTEL S.R.L. (CF: 04080110481)
</t>
  </si>
  <si>
    <t>EUROHOTEL S.R.L. (CF: 04080110481)</t>
  </si>
  <si>
    <t>Utenza gas sede Colombo</t>
  </si>
  <si>
    <t xml:space="preserve">ESTRA ENERGIE SRL (CF: 01219980529)
</t>
  </si>
  <si>
    <t>ESTRA ENERGIE SRL (CF: 01219980529)</t>
  </si>
  <si>
    <t>Noleggio di un muletto retrattile</t>
  </si>
  <si>
    <t xml:space="preserve">COOPSERVICE S.COOP.P.A.  (CF: 00310180351)
</t>
  </si>
  <si>
    <t>COOPSERVICE S.COOP.P.A.  (CF: 00310180351)</t>
  </si>
  <si>
    <t>Fornitura in opera di porzione di controsoffitto nella sala mensa di Via Giorgione</t>
  </si>
  <si>
    <t xml:space="preserve">PANZIRONI SECURITY SYSTEM S.R.L. (CF: 07326171001)
</t>
  </si>
  <si>
    <t>PANZIRONI SECURITY SYSTEM S.R.L. (CF: 07326171001)</t>
  </si>
  <si>
    <t>Abbonamento alla consultazione di norme tecniche online</t>
  </si>
  <si>
    <t xml:space="preserve">Ente Nazionale Italiano di Unificazione (CF: 80037830157)
</t>
  </si>
  <si>
    <t>Ente Nazionale Italiano di Unificazione (CF: 80037830157)</t>
  </si>
  <si>
    <t>Acquisto lampada per proiettore CPX444</t>
  </si>
  <si>
    <t xml:space="preserve">RL3 SRL (CF: 09653091000)
</t>
  </si>
  <si>
    <t>RL3 SRL (CF: 09653091000)</t>
  </si>
  <si>
    <t>Lavori di manutenzione dei ristoranti aziendali di via Colombo e via Giorgione</t>
  </si>
  <si>
    <t xml:space="preserve">DITTA MARINO IMPIANTI SRL (CF: 07568110634)
GENERALIMPIANTI SRL (CF: 05038830533)
INELSY SRL (CF: 06315970589)
ME.G.I.C. ITALIA GRANDI IMPIANTI S.R.L. (CF: 09181341000)
TEPOR SPA (CF: 00511500928)
</t>
  </si>
  <si>
    <t>INELSY SRL (CF: 06315970589)</t>
  </si>
  <si>
    <t>Abbonamenti a prodotti editoriali</t>
  </si>
  <si>
    <t>04-PROCEDURA NEGOZIATA SENZA PREVIA PUBBLICAZIONE DEL BANDO</t>
  </si>
  <si>
    <t xml:space="preserve">IBFD (IdEstero: 41197411)
</t>
  </si>
  <si>
    <t>IBFD (IdEstero: 41197411)</t>
  </si>
  <si>
    <t>Iscrizione annuale all'UNI</t>
  </si>
  <si>
    <t>Iscrizione annuale</t>
  </si>
  <si>
    <t xml:space="preserve">ASCAI (CF: 80097920013)
</t>
  </si>
  <si>
    <t>ASCAI (CF: 80097920013)</t>
  </si>
  <si>
    <t>Servizio di autolavaggio dei veicoli in dotazione alle sedi centrali</t>
  </si>
  <si>
    <t xml:space="preserve">FARCOMENI SAS DI PIETRO E MASSIMO FARCOMENI (CF: 06358591003)
PARKING NAVIGATORI SRL (CF: 05698691002)
SIRIA SRL (CF: 12890831006)
SUPERWASH SRL (CF: 07228081001)
TROIANO II S R L  (CF: 02995530587)
</t>
  </si>
  <si>
    <t>FARCOMENI SAS DI PIETRO E MASSIMO FARCOMENI (CF: 06358591003)</t>
  </si>
  <si>
    <t>Fornitura di software necessari per attivitÃ  di progettazione termotecnica</t>
  </si>
  <si>
    <t xml:space="preserve">EDILCLIMA S.R.L. (CF: 00460470032)
</t>
  </si>
  <si>
    <t>EDILCLIMA S.R.L. (CF: 00460470032)</t>
  </si>
  <si>
    <t>Abbonamenti online</t>
  </si>
  <si>
    <t xml:space="preserve">WOLTERS KLUWER ITALIA SRL (CF: 10209790152)
</t>
  </si>
  <si>
    <t>WOLTERS KLUWER ITALIA SRL (CF: 10209790152)</t>
  </si>
  <si>
    <t>AMBRA PALACE HOTEL - CONVENZIONE</t>
  </si>
  <si>
    <t xml:space="preserve">AMBRA PALACE SNC DI PERFETTI LINO &amp; C. (CF: 01716650682)
</t>
  </si>
  <si>
    <t>AMBRA PALACE SNC DI PERFETTI LINO &amp; C. (CF: 01716650682)</t>
  </si>
  <si>
    <t>organizzazione riunione 17 marzo 2016</t>
  </si>
  <si>
    <t xml:space="preserve">CIR FOOD S.C. (CF: 00464110352)
</t>
  </si>
  <si>
    <t>CIR FOOD S.C. (CF: 00464110352)</t>
  </si>
  <si>
    <t>Fornitura e posa in opera di una parete in alluminio anodizzato</t>
  </si>
  <si>
    <t xml:space="preserve">ARGEDIL S.R.L. (CF: 08654241002)
CIARDI INFISSI SRL (CF: 01900880590)
ML WORK E SERVICE S.R.L. (CF: 09522871004)
PANZIRONI SECURITY SYSTEM S.R.L. (CF: 07326171001)
STUDIO ROMA ARREDAMENTI SRL (CF: 12169631004)
</t>
  </si>
  <si>
    <t>Fornitura di carta in risme</t>
  </si>
  <si>
    <t xml:space="preserve">ERREBIAN SPA (CF: 08397890586)
LYRECO ITALIA S.P.A. (CF: 11582010150)
MYO S.r.l. (CF: 03222970406)
OLIPRESS S.R.L. (CF: 02495590412)
PEREGO CARTA (CF: 00775550486)
</t>
  </si>
  <si>
    <t>LYRECO ITALIA S.P.A. (CF: 11582010150)</t>
  </si>
  <si>
    <t>Lotto 2 materiale di cancelleria per le Direzioni Centrali</t>
  </si>
  <si>
    <t>MYO S.r.l. (CF: 03222970406)</t>
  </si>
  <si>
    <t>Fornitura di n. 4 lampade da scrivania</t>
  </si>
  <si>
    <t xml:space="preserve">CORPORATE EXPRESS SRL (CF: 00936630151)
</t>
  </si>
  <si>
    <t>CORPORATE EXPRESS SRL (CF: 00936630151)</t>
  </si>
  <si>
    <t>Fornitura attrezzature per Ufficio</t>
  </si>
  <si>
    <t xml:space="preserve">CONSUL SRL (CF: 06768650639)
</t>
  </si>
  <si>
    <t>CONSUL SRL (CF: 06768650639)</t>
  </si>
  <si>
    <t>Abbonamento a Scenari Immobiliari</t>
  </si>
  <si>
    <t xml:space="preserve">Scenari Immobiliari srl (CF: 06346211003)
</t>
  </si>
  <si>
    <t>Scenari Immobiliari srl (CF: 06346211003)</t>
  </si>
  <si>
    <t>Servizi di agenzia di stampa - due utenze RADIOCOR</t>
  </si>
  <si>
    <t xml:space="preserve">IL SOLE 24ORE S.P.A. (CF: 00777910159)
</t>
  </si>
  <si>
    <t>IL SOLE 24ORE S.P.A. (CF: 00777910159)</t>
  </si>
  <si>
    <t>Accessori per Ufficio</t>
  </si>
  <si>
    <t xml:space="preserve">GE.P.I.R. SRL (CF: 07437040582)
</t>
  </si>
  <si>
    <t>GE.P.I.R. SRL (CF: 07437040582)</t>
  </si>
  <si>
    <t>Riparazione stampante plotter HP Designjet 1050C</t>
  </si>
  <si>
    <t xml:space="preserve">DCS SOC. PER L'INFORMATICA S.R.L. (CF: 04562601007)
</t>
  </si>
  <si>
    <t>DCS SOC. PER L'INFORMATICA S.R.L. (CF: 04562601007)</t>
  </si>
  <si>
    <t>Rispristino porte d'accesso per la sede di Via Colombo</t>
  </si>
  <si>
    <t xml:space="preserve">PONZI S.R.L. (CF: 02144680390)
</t>
  </si>
  <si>
    <t>PONZI S.R.L. (CF: 02144680390)</t>
  </si>
  <si>
    <t>Abbonamento giuridico online</t>
  </si>
  <si>
    <t xml:space="preserve">GIURICONSULT SRL (CF: 05247730822)
</t>
  </si>
  <si>
    <t>GIURICONSULT SRL (CF: 05247730822)</t>
  </si>
  <si>
    <t>Acquisto volume Codice del processo tributario annotato</t>
  </si>
  <si>
    <t>AttivitÃ  di video ispezione con successivo ripristino della piena funzionalitÃ  dello scarico causa occlusione tubazioni di scarico corpo bagni</t>
  </si>
  <si>
    <t xml:space="preserve">INITIATIVE 2000 S.E.A. Srl (CF: 01963610595)
</t>
  </si>
  <si>
    <t>INITIATIVE 2000 S.E.A. Srl (CF: 01963610595)</t>
  </si>
  <si>
    <t>Toner Samsung</t>
  </si>
  <si>
    <t xml:space="preserve">CONVERGE S.P.A. (CF: 04472901000)
</t>
  </si>
  <si>
    <t>CONVERGE S.P.A. (CF: 04472901000)</t>
  </si>
  <si>
    <t>Toner Kyocera</t>
  </si>
  <si>
    <t xml:space="preserve">KYOCERA DOCUMENT SOLUTION ITALIA SPA (CF: 01788080156)
</t>
  </si>
  <si>
    <t>KYOCERA DOCUMENT SOLUTION ITALIA SPA (CF: 01788080156)</t>
  </si>
  <si>
    <t>Iscrizione Corso Privacy e controllo sui lavoratori</t>
  </si>
  <si>
    <t xml:space="preserve">AFGE (CF: 97757770017)
</t>
  </si>
  <si>
    <t>AFGE (CF: 97757770017)</t>
  </si>
  <si>
    <t>abbonamento annuale alla banca dati Orbis Full- Rinnovo 2015/2016</t>
  </si>
  <si>
    <t xml:space="preserve">BUREAU VAN DIJK EDIZIONI ELETTRONICHE SPA (CF: 11139860156)
</t>
  </si>
  <si>
    <t>BUREAU VAN DIJK EDIZIONI ELETTRONICHE SPA (CF: 11139860156)</t>
  </si>
  <si>
    <t>Campagna di comunicazione sulla dichiarazione precompilata 2016</t>
  </si>
  <si>
    <t xml:space="preserve">Acc &amp; Partners (CF: 07432351000)
</t>
  </si>
  <si>
    <t>Acc &amp; Partners (CF: 07432351000)</t>
  </si>
  <si>
    <t>Corso Modulo C Corso base RSPP</t>
  </si>
  <si>
    <t xml:space="preserve">IGEAM ACADEMY (CF: 10178221007)
</t>
  </si>
  <si>
    <t>IGEAM ACADEMY (CF: 10178221007)</t>
  </si>
  <si>
    <t>Acquisto Hardware</t>
  </si>
  <si>
    <t xml:space="preserve">ADPARTNERS SRL (CF: 03340710270)
EPTO ELECTRONICS DI F.VITELLOZZI (CF: VTLFNC75E21F599L)
EUROTECNO SRL (CF: 04585871009)
MA.PO SRL UNIPERSONALE (CF: 02509001208)
MENHIR COMPUTERS (CF: PLNNGL63C63H588A)
</t>
  </si>
  <si>
    <t>MA.PO SRL UNIPERSONALE (CF: 02509001208)</t>
  </si>
  <si>
    <t>Acquisto Autodesk subscription per autocad</t>
  </si>
  <si>
    <t xml:space="preserve">  DESCOR S.R.L. (CF: 03929361008)
ABITAT SIT SRL (CF: 02616950248)
KORA SISTEMI INFORMATICI SRL (CF: 02048930206)
TECHNE SRL (CF: 01121580490)
VIRTUAL LOGIC SRL (CF: 03878640238)
</t>
  </si>
  <si>
    <t>TECHNE SRL (CF: 01121580490)</t>
  </si>
  <si>
    <t>Contratto Agenzia di stampa</t>
  </si>
  <si>
    <t xml:space="preserve">ANSA AGENZIA NAZIONALE STAMPA ASSOCIATA SOCIETA' COOPERATIVA  (CF: 00391130580)
</t>
  </si>
  <si>
    <t>ANSA AGENZIA NAZIONALE STAMPA ASSOCIATA SOCIETA' COOPERATIVA  (CF: 00391130580)</t>
  </si>
  <si>
    <t>Abbonamento rivista on line Cooperative e Enti non profit</t>
  </si>
  <si>
    <t xml:space="preserve">IPSO SERVICE DI F. ORLANDI &amp; C. SAS (CF: 05837421006)
</t>
  </si>
  <si>
    <t>IPSO SERVICE DI F. ORLANDI &amp; C. SAS (CF: 05837421006)</t>
  </si>
  <si>
    <t>Abbonamenti a La Settimana Fiscale e a Il Fsco Quotidiano</t>
  </si>
  <si>
    <t>Intervento di sostituzione cinghie UTA e servizi ausiliari</t>
  </si>
  <si>
    <t xml:space="preserve">INTEC SERVICE Srl (CF: 02820290647)
</t>
  </si>
  <si>
    <t>INTEC SERVICE Srl (CF: 02820290647)</t>
  </si>
  <si>
    <t>Fornitura e posa in opera di due condizionatori monosplit sala server Direzione Centrale</t>
  </si>
  <si>
    <t xml:space="preserve">CLIMART (CF: 07649621005)
CLIMATIZZAZIONE DE SANTIS SRL (CF: 06194881006)
SAERTEC SRL (CF: 07262761005)
SURIANO IMPIANTI SRL (CF: 08970771005)
TECNO CLIMA DI SCANCELLA SRL (CF: 04799951001)
</t>
  </si>
  <si>
    <t>SURIANO IMPIANTI SRL (CF: 08970771005)</t>
  </si>
  <si>
    <t>Fornitura di scatole di cartone uso archivio</t>
  </si>
  <si>
    <t xml:space="preserve">INGROSCART SRL (CF: 01469840662)
LYRECO ITALIA S.P.A. (CF: 11582010150)
MYO S.r.l. (CF: 03222970406)
PUNTO COMUNE S.R.L. (CF: 01494210410)
SCATOLIFICIO ME-CART SRL (CF: 02358200356)
</t>
  </si>
  <si>
    <t>SCATOLIFICIO ME-CART SRL (CF: 02358200356)</t>
  </si>
  <si>
    <t>Fornitura e posa in opera di componenti dell'impianto di illuminazione delle sedi centrali</t>
  </si>
  <si>
    <t xml:space="preserve">ACQUA AZZURRA DI DE SANTIS MARIA E C. SNC (CF: 01781550601)
CSS SERVIZI S.R.L. (CF: 08546921001)
DI GESE TEAM SRL (CF: 13105901006)
FEA COSTRUZIONI SRL (CF: 08331451008)
INSITECH SAS DI CECOLI GIOVANNI (CF: 11360221003)
</t>
  </si>
  <si>
    <t>INSITECH SAS DI CECOLI GIOVANNI (CF: 11360221003)</t>
  </si>
  <si>
    <t>Manutenzione correttiva riparativa dell'impianto idrico sanitario delle sedi centrali</t>
  </si>
  <si>
    <t xml:space="preserve">EMMESSE MULTISERVICE SRL (CF: 10877541002)
flender srl (CF: 12365631006)
GV SERVICE SRL (CF: 02965180736)
INTEC SERVICE Srl (CF: 02820290647)
MR SERVICE SRL (CF: 12479491008)
</t>
  </si>
  <si>
    <t>Software per il concentratore per la consultazione delle agenzie di stampa</t>
  </si>
  <si>
    <t xml:space="preserve">data stampa srl (CF: 04982350581)
</t>
  </si>
  <si>
    <t>data stampa srl (CF: 04982350581)</t>
  </si>
  <si>
    <t>Allestimento in noleggio per mostra 20 aprile 2016</t>
  </si>
  <si>
    <t xml:space="preserve">CLAN COMMUNICATION srl (CF: 08710041008)
HANDLE Srl (CF: 12722921009)
I.O. DI INNOCENTI MASSIMO (CF: NNCMSM59E22A561B)
INNOCOM Srl (CF: 10674221006)
ZEUN Srl (CF: 02027120688)
</t>
  </si>
  <si>
    <t>INNOCOM Srl (CF: 10674221006)</t>
  </si>
  <si>
    <t>Abbonamento a Il Quotidiano Immobiliare</t>
  </si>
  <si>
    <t xml:space="preserve">DAILY REAL ESTATE S.R.L. (CF: 03276200163)
</t>
  </si>
  <si>
    <t>DAILY REAL ESTATE S.R.L. (CF: 03276200163)</t>
  </si>
  <si>
    <t>Stampa e distribuzione dei Modelli di dichiarazione fiscale 730 e Unico persone fisiche anno 2016</t>
  </si>
  <si>
    <t>01-PROCEDURA APERTA</t>
  </si>
  <si>
    <t xml:space="preserve">ROTOSTAMPA SRL (CF: 02175580642)
</t>
  </si>
  <si>
    <t>ROTOSTAMPA SRL (CF: 02175580642)</t>
  </si>
  <si>
    <t>Servizio di manutenzione del sistema eliminacode ARGO</t>
  </si>
  <si>
    <t xml:space="preserve">SIGMA S.P.A. (CF: 01590580443)
</t>
  </si>
  <si>
    <t>SIGMA S.P.A. (CF: 01590580443)</t>
  </si>
  <si>
    <t>Arredi a norma per ufficio</t>
  </si>
  <si>
    <t xml:space="preserve">ARES LINE SPA (CF: 00887180248)
</t>
  </si>
  <si>
    <t>ARES LINE SPA (CF: 00887180248)</t>
  </si>
  <si>
    <t>Ripristino sistemi antintrusione e videosorveglianza per sedi Colombo e Licini</t>
  </si>
  <si>
    <t>Servizio di raccolta dati mediante sondaggio presso gli operatori immobiliari sullo stato del mercato immobiliare in Italia - contratto normativo</t>
  </si>
  <si>
    <t>08-AFFIDAMENTO IN ECONOMIA - COTTIMO FIDUCIARIO</t>
  </si>
  <si>
    <t xml:space="preserve">Demetra Opinioni.net s.r.l. (CF: 03361530276)
FORMAT SRL (CF: 04268451005)
GRUPPO CLAS SPA (CF: 09786990151)
QUESTLAB SRL (CF: 03448440275)
SELEXI S.R.L. (CF: 12852900153)
</t>
  </si>
  <si>
    <t>GRUPPO CLAS SPA (CF: 09786990151)</t>
  </si>
  <si>
    <t>Servizio di raccolta dati mediante sondaggio presso gli operatori immobiliari sullo stato del mercato immobiliare in Italia - contratto esecutivo</t>
  </si>
  <si>
    <t xml:space="preserve">GRUPPO CLAS SPA (CF: 09786990151)
</t>
  </si>
  <si>
    <t>HOTEL DIPLOMAT - CONVENZIONE</t>
  </si>
  <si>
    <t xml:space="preserve">COMPAGNIA TURISTICO ALBERGHIERA S.R.L. (CF: 03262740404)
</t>
  </si>
  <si>
    <t>COMPAGNIA TURISTICO ALBERGHIERA S.R.L. (CF: 03262740404)</t>
  </si>
  <si>
    <t>Servizio di pulizia a ridotto impatto ambientale - Lotto 9 Puglia e Molise</t>
  </si>
  <si>
    <t xml:space="preserve">RAGGRUPPAMENTO:
- SANTA BRIGIDA SOCIETA COOP.VA PER AZIONI  (CF: 04161790631) Ruolo: 02-MANDATARIA
- RISANAMENTO VESUVIO S.A.S (CF: 04565950633) Ruolo: 01-MANDANTE
CM SERVICE SRL (CF: 08766390010)
COOPSERVICE S.COOP.P.A.  (CF: 00310180351)
LA LUCENTEZZA S.R.L. (CF: 03222370722)
MANITAL S.C.P.A.-CONSORZIO STABILE (CF: 06466050017)
</t>
  </si>
  <si>
    <t xml:space="preserve">RAGGRUPPAMENTO:
- SANTA BRIGIDA SOCIETA COOP.VA PER AZIONI  (CF: 04161790631) Ruolo: 02-MANDATARIA
- RISANAMENTO VESUVIO S.A.S (CF: 04565950633) Ruolo: 01-MANDANTE
</t>
  </si>
  <si>
    <t>Abbonamento rivista di diritto tributario on line</t>
  </si>
  <si>
    <t xml:space="preserve">PACINI EDITORE SRL (CF: 00696690502)
</t>
  </si>
  <si>
    <t>PACINI EDITORE SRL (CF: 00696690502)</t>
  </si>
  <si>
    <t>Noleggio autovettura Veneto</t>
  </si>
  <si>
    <t xml:space="preserve">ALD AUTOMOTIVE ITALIA S.R.L. (CF: 07978810583)
</t>
  </si>
  <si>
    <t>ALD AUTOMOTIVE ITALIA S.R.L. (CF: 07978810583)</t>
  </si>
  <si>
    <t>Fornitura e posa in opera di pavimentazione in materiale sintetico</t>
  </si>
  <si>
    <t xml:space="preserve">ACQUAMARINA SRL (CF: 02031570233)
ARTIGIAN PLAST SERVICE SRL (CF: 02014260422)
ARTIGIANA MOQUETTES SRL (CF: 04027931007)
D&amp;D RISTRUTTURAZIONI (CF: 01811830668)
PICCHI SRL (CF: 08206970587)
</t>
  </si>
  <si>
    <t>PICCHI SRL (CF: 08206970587)</t>
  </si>
  <si>
    <t>Software Edificius e Impiantus elettrico</t>
  </si>
  <si>
    <t xml:space="preserve">  DESCOR S.R.L. (CF: 03929361008)
ACCA SOFTWARE SPA (CF: 01883740647)
PAM UFFICIO (CF: 01261820839)
TECHNE SRL (CF: 01121580490)
</t>
  </si>
  <si>
    <t>AttivitÃ  formativa di Telerilevamento e Fotogrammetria</t>
  </si>
  <si>
    <t xml:space="preserve">POLITECNICO DI TORINO (CF: 00518460019)
</t>
  </si>
  <si>
    <t>POLITECNICO DI TORINO (CF: 00518460019)</t>
  </si>
  <si>
    <t>Fornitura di materiale di consumo originale e non originale per stampanti e multifunzione per le direzioni centrali</t>
  </si>
  <si>
    <t xml:space="preserve">ECO LASER INFORMATICA SRL  (CF: 04427081007)
ICR - SOCIETA' PER AZIONI  (CF: 05466391009)
MIDA SRL (CF: 01513020238)
MYO S.r.l. (CF: 03222970406)
SECURSYSTEM S.R.L. (CF: 00921360442)
</t>
  </si>
  <si>
    <t>Utenze Colombo Giorgione Licini</t>
  </si>
  <si>
    <t xml:space="preserve">GALA SPA (CF: 06832931007)
</t>
  </si>
  <si>
    <t>GALA SPA (CF: 06832931007)</t>
  </si>
  <si>
    <t>HOTEL GRAN DUCA - CONVENZIONE</t>
  </si>
  <si>
    <t xml:space="preserve">GRAN DUCA SRL (CF: 00125220491)
</t>
  </si>
  <si>
    <t>GRAN DUCA SRL (CF: 00125220491)</t>
  </si>
  <si>
    <t>JOYFULL HOTEL - CONVENZIONE</t>
  </si>
  <si>
    <t xml:space="preserve">HOTEL JOYFULL (CF: 07592161215)
</t>
  </si>
  <si>
    <t>HOTEL JOYFULL (CF: 07592161215)</t>
  </si>
  <si>
    <t>Noleggio autovettura</t>
  </si>
  <si>
    <t>DONNA LAURA PALACE HOTEL - CONVENZIONE</t>
  </si>
  <si>
    <t xml:space="preserve">DONNA LAURA 2011 S.R.L. (CF: 11651411008)
</t>
  </si>
  <si>
    <t>DONNA LAURA 2011 S.R.L. (CF: 11651411008)</t>
  </si>
  <si>
    <t>Fornitura e posa in opera 25 estintori portatili a biossido di carbonio</t>
  </si>
  <si>
    <t xml:space="preserve">ANTINCENDIO FAELLA SRL (CF: 02874630615)
COMET ANTINCENDIO (CF: 10540991006)
FIREBLOCK (CF: 06464240016)
SOMI ANTINCENDIO SRL (CF: 06755891212)
TIEMME SERVICE ANTINCENDIO SOC. COOP. (CF: 05873311210)
</t>
  </si>
  <si>
    <t>TIEMME SERVICE ANTINCENDIO SOC. COOP. (CF: 05873311210)</t>
  </si>
  <si>
    <t>Fornitura di cuffie e adattatori</t>
  </si>
  <si>
    <t xml:space="preserve">CONTACT CENTER EQUIPMENTS SRL (CF: 05728500967)
ELCOM SRL (CF: 01103530588)
MTK (CF: 03438080610)
ONEDIRECT SRL (CF: 05080100968)
Vitrociset S.p.A. (CF: 00145180923)
</t>
  </si>
  <si>
    <t>ONEDIRECT SRL (CF: 05080100968)</t>
  </si>
  <si>
    <t>Servizio di progettazione di prove dâ€™esame</t>
  </si>
  <si>
    <t xml:space="preserve">MERITO Srl (CF: 02290620992)
</t>
  </si>
  <si>
    <t>MERITO Srl (CF: 02290620992)</t>
  </si>
  <si>
    <t>Iscrizione workshop nazionale rivista Azienda Pubblica - Palermo</t>
  </si>
  <si>
    <t xml:space="preserve">UniversitÃ  degli studi di Palermo (CF: 80023730825)
</t>
  </si>
  <si>
    <t>UniversitÃ  degli studi di Palermo (CF: 80023730825)</t>
  </si>
  <si>
    <t>HOTEL FERRARA - CONVENZIONE</t>
  </si>
  <si>
    <t xml:space="preserve">HOTEL FERRARA S.R.L. (CF: 00165300385)
</t>
  </si>
  <si>
    <t>HOTEL FERRARA S.R.L. (CF: 00165300385)</t>
  </si>
  <si>
    <t>ISCRIZIONE CORSO FINAKI</t>
  </si>
  <si>
    <t xml:space="preserve">FINAKI S.A.S.U. (IdEstero: FR22349820092)
</t>
  </si>
  <si>
    <t>FINAKI S.A.S.U. (IdEstero: FR22349820092)</t>
  </si>
  <si>
    <t>Fornitura pedane basculanti</t>
  </si>
  <si>
    <t xml:space="preserve">GBR ROSSETTO SPA (CF: 00304720287)
</t>
  </si>
  <si>
    <t>GBR ROSSETTO SPA (CF: 00304720287)</t>
  </si>
  <si>
    <t>Toner per Samsung</t>
  </si>
  <si>
    <t>Toner per Kyocera</t>
  </si>
  <si>
    <t>Lavori di collegamento delle centrali di rilevazione incendi dell'edificio sito in Largo Leopardi</t>
  </si>
  <si>
    <t>Fornitura di n. 3000 KG di sale per addolcitori</t>
  </si>
  <si>
    <t xml:space="preserve">italkali spa (CF: 02425570823)
</t>
  </si>
  <si>
    <t>italkali spa (CF: 02425570823)</t>
  </si>
  <si>
    <t>acquisto hardware</t>
  </si>
  <si>
    <t xml:space="preserve">ALFA MULTISERVIZI S.R.L. (CF: 12357411003)
C2 SRL (CF: 01121130197)
DPS INFORMATICA S.N.C. DI PRESELLO GIANNI &amp; C. (CF: 01486330309)
KORA SISTEMI INFORMATICI SRL (CF: 02048930206)
MEMOGRAPH impresa individuale (CF: PNRGNN63P67B111F)
</t>
  </si>
  <si>
    <t>DPS INFORMATICA S.N.C. DI PRESELLO GIANNI &amp; C. (CF: 01486330309)</t>
  </si>
  <si>
    <t>Licenza annuale Adobe</t>
  </si>
  <si>
    <t xml:space="preserve">DPS INFORMATICA S.N.C. DI PRESELLO GIANNI &amp; C. (CF: 01486330309)
</t>
  </si>
  <si>
    <t>Noleggio fotocopiatore</t>
  </si>
  <si>
    <t>organizzazione riunione 10/06/2016</t>
  </si>
  <si>
    <t>Abbonamento triennale al appaltiecontratti</t>
  </si>
  <si>
    <t xml:space="preserve">MAGGIOLI S.P.A. (CF: 06188330150)
</t>
  </si>
  <si>
    <t>MAGGIOLI S.P.A. (CF: 06188330150)</t>
  </si>
  <si>
    <t>Acquisto attrezzature per Ufficio</t>
  </si>
  <si>
    <t>Fornitura periferica di acquisizione Video Intensity Shuttle for USB 3.0</t>
  </si>
  <si>
    <t xml:space="preserve">E-MOTION CREATIONS DI PIERFRANCESCO ARMATI (CF: RMTPFR63P26H501H)
</t>
  </si>
  <si>
    <t>E-MOTION CREATIONS DI PIERFRANCESCO ARMATI (CF: RMTPFR63P26H501H)</t>
  </si>
  <si>
    <t>Fornitura ricambi per defibrillatori</t>
  </si>
  <si>
    <t xml:space="preserve">AIESI HOSPITAL SERVICE SAS DI PIANTADOSI VALERIO E C.  (CF: 06111530637)
DOCTOR SHOP S.R.L. (CF: 04760660961)
EMERGO S.R.L. (CF: 04467060267)
ITALSAI DI ITALO PACIONE (CF: PCNTLI79E19H501D)
N.O.R.I.S. SRL (CF: 03578230108)
</t>
  </si>
  <si>
    <t>DOCTOR SHOP S.R.L. (CF: 04760660961)</t>
  </si>
  <si>
    <t>AttivitÃ  formativa in materia di digital forensics per verificatori fiscali</t>
  </si>
  <si>
    <t xml:space="preserve">Cefriel Scarl (CF: 09144820157)
Data Forense (CF: 07623991218)
Reality net (CF: 01311230997)
Security Architect S.r.l. (CF: 06385990723)
Tesla Consulting (CF: 03266491202)
</t>
  </si>
  <si>
    <t>Data Forense (CF: 07623991218)</t>
  </si>
  <si>
    <t>Iscrizione alle Gionate di studio dal titolo La nuova passweb - 15/16 giugno 2016</t>
  </si>
  <si>
    <t xml:space="preserve">UNIVERSITA' DEGLI STUDI DI ROMA LA SAPIENZA (CF: 80209930587)
</t>
  </si>
  <si>
    <t>UNIVERSITA' DEGLI STUDI DI ROMA LA SAPIENZA (CF: 80209930587)</t>
  </si>
  <si>
    <t>Fornitura e posa in opera di n. 2 pannelli autoportanti e fonoassorbenti</t>
  </si>
  <si>
    <t xml:space="preserve">Clipper System Srl (CF: 01927780609)
DEOFFICE SRL  (CF: 03687120612)
FANTOZZI (CF: 00390590503)
P.M. INTERNI SRL (CF: 01865940355)
STUDIO T Srl (CF: 00387880396)
</t>
  </si>
  <si>
    <t>Clipper System Srl (CF: 01927780609)</t>
  </si>
  <si>
    <t>HOTEL PALAZZO DAL BORGO - CONVENZIONE</t>
  </si>
  <si>
    <t xml:space="preserve">HOTEL APRILE SAS (CF: 02036520480)
</t>
  </si>
  <si>
    <t>HOTEL APRILE SAS (CF: 02036520480)</t>
  </si>
  <si>
    <t>Servizio di pulizia a ridotto impianto ambientale - Lotto 3 Bolzano Trento Friuli Venezia Giulia Veneto</t>
  </si>
  <si>
    <t xml:space="preserve">C.R. APPALTI SRL (CF: 04622851006)
CM SERVICE SRL (CF: 08766390010)
GESTIONE SERVIZI INTEGRATI S.R.L. (CF: 09942990012)
MANITAL S.C.P.A.-CONSORZIO STABILE (CF: 06466050017)
TEAM SERVICE (CF: 07947601006)
</t>
  </si>
  <si>
    <t>C.R. APPALTI SRL (CF: 04622851006)</t>
  </si>
  <si>
    <t>servizio di pulizia a ridotto impatto ambientale per le sedi degli Uffici dell'AE - Lotto 7 (Direzioni Centrali, Lazio, Sardegna)</t>
  </si>
  <si>
    <t xml:space="preserve">C.R. APPALTI SRL (CF: 04622851006)
GESTIONE SERVIZI INTEGRATI S.R.L. (CF: 09942990012)
LA MONDIAL S.R.L. (CF: 00486270630)
MERANESE SERVIZI SPA (CF: 01648280210)
TEAM SERVICE (CF: 07947601006)
</t>
  </si>
  <si>
    <t>servizio di pulizia a ridotto impatto ambientale per le sedi degli Uffici dell'AE - Lotto 5 (Toscana e Umbria)</t>
  </si>
  <si>
    <t xml:space="preserve">C.R. APPALTI SRL (CF: 04622851006)
GESTIONE SERVIZI INTEGRATI S.R.L. (CF: 09942990012)
MANITAL S.C.P.A.-CONSORZIO STABILE (CF: 06466050017)
MERANESE SERVIZI SPA (CF: 01648280210)
SE.G.I. S.R.L. (CF: 02559730789)
</t>
  </si>
  <si>
    <t>Servizio di pulizia a ridotto impianto ambientale - Lotto 1 Piemonte e Val d'Aosta</t>
  </si>
  <si>
    <t xml:space="preserve">C.R. APPALTI SRL (CF: 04622851006)
CO.LA.COOP. CONSORZIO LAZIALE COOPERATIVE (CF: 06594220581)
CONSORZIO MERIDIONALE SERVIZI (CF: 01744050855)
GRATTACASO S.R.L. (CF: 00965350093)
MANITAL S.C.P.A.-CONSORZIO STABILE (CF: 06466050017)
</t>
  </si>
  <si>
    <t>GRATTACASO S.R.L. (CF: 00965350093)</t>
  </si>
  <si>
    <t>Servizio di pulizia a ridotto impianto ambientale - Lotto 2 Lombardia</t>
  </si>
  <si>
    <t xml:space="preserve">RAGGRUPPAMENTO:
- B.&amp; B. SERVICE SOCIETA' COOPERATIVA (CF: 01494430463) Ruolo: 02-MANDATARIA
- BONI SPA (CF: 02113890012) Ruolo: 01-MANDANTE
C.R. APPALTI SRL (CF: 04622851006)
CNS - CONSORZIO NAZIONALE SERVIZI SOCIETA COOPERATIVA  (CF: 02884150588)
I.S.S.ITALIA S.r.l. (CF: 00215860289)
MANITAL S.C.P.A.-CONSORZIO STABILE (CF: 06466050017)
</t>
  </si>
  <si>
    <t xml:space="preserve">RAGGRUPPAMENTO:
- B.&amp; B. SERVICE SOCIETA' COOPERATIVA (CF: 01494430463) Ruolo: 02-MANDATARIA
- BONI SPA (CF: 02113890012) Ruolo: 01-MANDANTE
</t>
  </si>
  <si>
    <t>Servizio di pulizia a ridotto impianto ambientale - Lotto 6 Abruzzo Marche</t>
  </si>
  <si>
    <t xml:space="preserve">RAGGRUPPAMENTO:
- MIORELLI SERVICE S.P.A.  (CF: 00505590224) Ruolo: 02-MANDATARIA
- EURO &amp; PROMOS FM SOC.COOP.P.A. (CF: 02458660301) Ruolo: 01-MANDANTE
- PULITORI ED AFFINI - S.P.A. (CF: 02076190178) Ruolo: 01-MANDANTE
C.R. APPALTI SRL (CF: 04622851006)
CONSORZIO MERIDIONALE SERVIZI (CF: 01744050855)
LA LUCENTEZZA S.R.L. (CF: 03222370722)
TEAM SERVICE (CF: 07947601006)
</t>
  </si>
  <si>
    <t xml:space="preserve">RAGGRUPPAMENTO:
- MIORELLI SERVICE S.P.A.  (CF: 00505590224) Ruolo: 02-MANDATARIA
- EURO &amp; PROMOS FM SOC.COOP.P.A. (CF: 02458660301) Ruolo: 01-MANDANTE
- PULITORI ED AFFINI - S.P.A. (CF: 02076190178) Ruolo: 01-MANDANTE
</t>
  </si>
  <si>
    <t>Servizio di pulizia a ridotto impianto ambientale - Lotto 10 Calabria Sicilia</t>
  </si>
  <si>
    <t xml:space="preserve">RAGGRUPPAMENTO:
- EURO &amp; PROMOS FM SOC.COOP.P.A. (CF: 02458660301) Ruolo: 02-MANDATARIA
- MIORELLI SERVICE S.P.A.  (CF: 00505590224) Ruolo: 01-MANDANTE
- PULITORI ED AFFINI - S.P.A. (CF: 02076190178) Ruolo: 01-MANDANTE
C.R. APPALTI SRL (CF: 04622851006)
CO.LA.COOP. CONSORZIO LAZIALE COOPERATIVE (CF: 06594220581)
CONSORZIO MERIDIONALE SERVIZI (CF: 01744050855)
MANITAL S.C.P.A.-CONSORZIO STABILE (CF: 06466050017)
</t>
  </si>
  <si>
    <t xml:space="preserve">RAGGRUPPAMENTO:
- EURO &amp; PROMOS FM SOC.COOP.P.A. (CF: 02458660301) Ruolo: 02-MANDATARIA
- MIORELLI SERVICE S.P.A.  (CF: 00505590224) Ruolo: 01-MANDANTE
- PULITORI ED AFFINI - S.P.A. (CF: 02076190178) Ruolo: 01-MANDANTE
</t>
  </si>
  <si>
    <t>Fornitura di guanti puntinati</t>
  </si>
  <si>
    <t xml:space="preserve">MODACOM S.R.L. (CF: 01606430369)
Pinna srl (CF: 00972960173)
S.F.A.P. SRL (CF: 00716000583)
</t>
  </si>
  <si>
    <t>S.F.A.P. SRL (CF: 00716000583)</t>
  </si>
  <si>
    <t>GRANDE ALBERGO ROMA - CONVENZIONE</t>
  </si>
  <si>
    <t xml:space="preserve">INC HOTELS PIACENZA SRL (CF: 02769110343)
</t>
  </si>
  <si>
    <t>INC HOTELS PIACENZA SRL (CF: 02769110343)</t>
  </si>
  <si>
    <t>Allestimento dispositivi supplementari di segnalazione acustica e visiva Art. 177 del CdS</t>
  </si>
  <si>
    <t xml:space="preserve">ELEVOX SRL (CF: 06615320584)
</t>
  </si>
  <si>
    <t>ELEVOX SRL (CF: 06615320584)</t>
  </si>
  <si>
    <t>Fornitura di materiale tecnico ed antinfortunistico per il Centro di Gestione Documentale</t>
  </si>
  <si>
    <t xml:space="preserve">LYRECO ITALIA S.P.A. (CF: 11582010150)
MODACOM S.R.L. (CF: 01606430369)
Pinna srl (CF: 00972960173)
</t>
  </si>
  <si>
    <t>Servizio di manutenzione e presidio per centrali telefoniche</t>
  </si>
  <si>
    <t xml:space="preserve">Fastweb S.p.A. (CF: 12878470157)
MITEL ITALIA (CF: 04024850960)
SETEC (CF: 09374391002)
TESY LAB (CF: 09400381001)
Vitrociset S.p.A. (CF: 00145180923)
</t>
  </si>
  <si>
    <t>MITEL ITALIA (CF: 04024850960)</t>
  </si>
  <si>
    <t>Organizzazione evento 16 giugno 2016</t>
  </si>
  <si>
    <t>Servizio stampa questionari e fornitura materiali per selezione candidati</t>
  </si>
  <si>
    <t>Restauro Conservativo Mappe e Volumi di Pregio Storico</t>
  </si>
  <si>
    <t xml:space="preserve">STUDIO P. CRISOSTOMI SRL (CF: 04376211001)
</t>
  </si>
  <si>
    <t>STUDIO P. CRISOSTOMI SRL (CF: 04376211001)</t>
  </si>
  <si>
    <t>Acquisto n. 2 Kit Radiomicrofoni</t>
  </si>
  <si>
    <t xml:space="preserve">AUDIOTIME SRL (CF: 01670310562)
BIASIN DENIS &amp; C SNC (CF: 01249220938)
DPS INFORMATICA S.N.C. DI PRESELLO GIANNI &amp; C. (CF: 01486330309)
ELCOM SRL (CF: 01103530588)
SANGIO SOUND SNC (CF: 01035750163)
</t>
  </si>
  <si>
    <t>BIASIN DENIS &amp; C SNC (CF: 01249220938)</t>
  </si>
  <si>
    <t xml:space="preserve">Fornitura n.1 lampada tipo artemide e n.1 lampada a piantana  </t>
  </si>
  <si>
    <t xml:space="preserve">PLASTI FOR MOBIL (CF: 01040690156)
</t>
  </si>
  <si>
    <t>PLASTI FOR MOBIL (CF: 01040690156)</t>
  </si>
  <si>
    <t>HOTEL AUGUSTUS - CONVENZIONE</t>
  </si>
  <si>
    <t xml:space="preserve">S.I.A.M. S.R.L. (CF: 00776590150)
</t>
  </si>
  <si>
    <t>S.I.A.M. S.R.L. (CF: 00776590150)</t>
  </si>
  <si>
    <t>HOTEL DELLE PALME - CONVENZIONE</t>
  </si>
  <si>
    <t xml:space="preserve">S.I.A.P. S.R.L. (CF: 00152310751)
</t>
  </si>
  <si>
    <t>S.I.A.P. S.R.L. (CF: 00152310751)</t>
  </si>
  <si>
    <t>HOTEL TOURING - CONVENZIONE</t>
  </si>
  <si>
    <t xml:space="preserve">HOTEL TOURING DI FRATUS GIOVANNI &amp; C. SNC (CF: 02003660988)
</t>
  </si>
  <si>
    <t>HOTEL TOURING DI FRATUS GIOVANNI &amp; C. SNC (CF: 02003660988)</t>
  </si>
  <si>
    <t>LEONARDO DA VINCI HOTEL - CONVENZIONE</t>
  </si>
  <si>
    <t xml:space="preserve">LEONARDO DA VINCI S.R.L. (CF: 01160600902)
</t>
  </si>
  <si>
    <t>LEONARDO DA VINCI S.R.L. (CF: 01160600902)</t>
  </si>
  <si>
    <t>GRAND HOTEL LEON D'ORO - CONVENZIONE</t>
  </si>
  <si>
    <t xml:space="preserve">G.E.AL. S.P.A. GESTIONE ESERCIZI ALBERGHIERI (CF: 00267800720)
</t>
  </si>
  <si>
    <t>G.E.AL. S.P.A. GESTIONE ESERCIZI ALBERGHIERI (CF: 00267800720)</t>
  </si>
  <si>
    <t>HOTEL MARGHERITA - CONVENZIONE</t>
  </si>
  <si>
    <t xml:space="preserve">HOTEL REGINA MARGHERITA S.R.L. (CF: 02778560926)
</t>
  </si>
  <si>
    <t>HOTEL REGINA MARGHERITA S.R.L. (CF: 02778560926)</t>
  </si>
  <si>
    <t>VILLA ROMANAZZI CARDUCCI HOTEL - CONVENZIONE</t>
  </si>
  <si>
    <t xml:space="preserve">TOUREXP S.R.L. (CF: 07497270723)
</t>
  </si>
  <si>
    <t>TOUREXP S.R.L. (CF: 07497270723)</t>
  </si>
  <si>
    <t>Iscrizione alla XXXVII conferenza scientifica annuale AISRE - Ancona 20/22 settembre</t>
  </si>
  <si>
    <t xml:space="preserve">A.I.S.Re - Associazione Italiana di Scienze Regionali (CF: 97008200582)
</t>
  </si>
  <si>
    <t>A.I.S.Re - Associazione Italiana di Scienze Regionali (CF: 97008200582)</t>
  </si>
  <si>
    <t>acquisto materiale igienico</t>
  </si>
  <si>
    <t xml:space="preserve">BLP (CF: 02115160422)
MASTER FORNITURE SRL (CF: 04230741003)
PANTEL IMPIANTI DI RIZZO SALVATORE (CF: 01652100817)
PEDONE SRL (CF: 05684610727)
PEFIM SRL A SOCIO UNICO (CF: 06633741217)
</t>
  </si>
  <si>
    <t>BLP (CF: 02115160422)</t>
  </si>
  <si>
    <t>Organizzazione conferenza stampa del 01/03/2016</t>
  </si>
  <si>
    <t>Organizzazione convegno 130 anni di catasto tra storia e tecnologia</t>
  </si>
  <si>
    <t>Arredi a norma per sedi centrali</t>
  </si>
  <si>
    <t xml:space="preserve">CORRIDI S.R.L. (CF: 00402140586)
</t>
  </si>
  <si>
    <t>CORRIDI S.R.L. (CF: 00402140586)</t>
  </si>
  <si>
    <t>Fornitura complementi d'arredo</t>
  </si>
  <si>
    <t xml:space="preserve">ALICANTISTORE (CF: 12986471006)
Dimension Flowers di Andrea Bonci (CF: bncndr75a09h501p)
FIORIDENNI (CF: 10644611005)
NUOVO ARREDO VERDE SNC DI MASTROPASQUA CESARE &amp; C. (CF: 12148701001)
SISTEMA UFFICIO (CF: 06559310583)
</t>
  </si>
  <si>
    <t>Dimension Flowers di Andrea Bonci (CF: bncndr75a09h501p)</t>
  </si>
  <si>
    <t>Servizio trasporto personale</t>
  </si>
  <si>
    <t xml:space="preserve">COOPERATIVA PRONTO TAXI 6645 - SOCIETA' COOPERATIVA (CF: 02705590582)
MONDO TAXI 8822 SRL (CF: 06991411007)
RADIOTAXI 3570 SOCIETA' COOPERATIVA (CF: 02278690587)
SOCIETA' COOPERATIVA SAMARCANDA (CF: 04321971006)
TAXI TEVERE SRL (CF: 08308331001)
</t>
  </si>
  <si>
    <t>RADIOTAXI 3570 SOCIETA' COOPERATIVA (CF: 02278690587)</t>
  </si>
  <si>
    <t>Riparazione e manutenzione autoveicoli</t>
  </si>
  <si>
    <t xml:space="preserve">TECNO CARAVAN SNC (CF: 02425300585)
</t>
  </si>
  <si>
    <t>TECNO CARAVAN SNC (CF: 02425300585)</t>
  </si>
  <si>
    <t>Polizza di assicurazione</t>
  </si>
  <si>
    <t xml:space="preserve">WILLIS ITALIA SPA (CF: 03902220486)
</t>
  </si>
  <si>
    <t>WILLIS ITALIA SPA (CF: 03902220486)</t>
  </si>
  <si>
    <t>Assicurazione</t>
  </si>
  <si>
    <t>Arredi a norma</t>
  </si>
  <si>
    <t xml:space="preserve">ARES LINE SPA (CF: 03161590249)
</t>
  </si>
  <si>
    <t>ARES LINE SPA (CF: 03161590249)</t>
  </si>
  <si>
    <t>Fornitura di carta per stampe e copie per tutti gli Uffici dell'Agenzia - Lotto 4 (Emilia Romagna, Marche)</t>
  </si>
  <si>
    <t xml:space="preserve">LYRECO ITALIA S.P.A. (CF: 11582010150)
</t>
  </si>
  <si>
    <t>Assicurazione progettisti</t>
  </si>
  <si>
    <t>Abbonamento a Italia Oggi digitale</t>
  </si>
  <si>
    <t xml:space="preserve">CLASS EDITORI SPA (CF: 08114020152)
</t>
  </si>
  <si>
    <t>CLASS EDITORI SPA (CF: 08114020152)</t>
  </si>
  <si>
    <t>Buoni pasto</t>
  </si>
  <si>
    <t xml:space="preserve">Qui! Group Spa (CF: 03105300101)
</t>
  </si>
  <si>
    <t>Qui! Group Spa (CF: 03105300101)</t>
  </si>
  <si>
    <t>Disostruzione tubazione di scarico dei bagni della sede di via C. Colombo</t>
  </si>
  <si>
    <t>Acquisto volumi</t>
  </si>
  <si>
    <t>AttivitÃ  formativa in materia di software SPSS, moduli MODELER e STATISTICS</t>
  </si>
  <si>
    <t xml:space="preserve">SPS Srl (CF: 04222630370)
</t>
  </si>
  <si>
    <t>SPS Srl (CF: 04222630370)</t>
  </si>
  <si>
    <t>Affitto sale in occasione di un'iniziativa formativa - Roma 15/16 luglio 2016</t>
  </si>
  <si>
    <t xml:space="preserve">FEMA Progetti Srl (CF: 11696461000)
KOLPING HOTEL CASA DOMITILLA SRL (CF: 02692420215)
MANCINI PARK HOTEL S.R.L. (CF: 13424731001)
ROMA DUE SRL (CF: 12124691002)
SHERATON INTERNATIONAL INC. (CF: 96048150583)
</t>
  </si>
  <si>
    <t>FEMA Progetti Srl (CF: 11696461000)</t>
  </si>
  <si>
    <t>Fornitura di n. 8 targhe</t>
  </si>
  <si>
    <t xml:space="preserve">BIANCONE GIANNANTONIO (CF: BNCGNN39A17C126H)
</t>
  </si>
  <si>
    <t>BIANCONE GIANNANTONIO (CF: BNCGNN39A17C126H)</t>
  </si>
  <si>
    <t>acquisto toner kyocera tk 3130</t>
  </si>
  <si>
    <t>Sostituzione di una cinghia della porta automatica scorrevole dell'ingresso della sede di via Giorgione</t>
  </si>
  <si>
    <t xml:space="preserve">GEZE ITALIA S.R.L. (CF: 12522900153)
</t>
  </si>
  <si>
    <t>GEZE ITALIA S.R.L. (CF: 12522900153)</t>
  </si>
  <si>
    <t>Fornitura e posa in opera di tendaggi per la sede di Largo Leopardi</t>
  </si>
  <si>
    <t xml:space="preserve">AB TENDE S.R.L (CF: 12134811004)
ANGELONI LUCIANA DI CAROSI MORENA (CF: CRSMRN78C54C615M)
ARREDO - AMBIENTI SRL (CF: 12405691002)
LINEA UFFICIO SRL (CF: 01165520444)
SUNFILTER S.R.L. (CF: 02119200372)
</t>
  </si>
  <si>
    <t>ANGELONI LUCIANA DI CAROSI MORENA (CF: CRSMRN78C54C615M)</t>
  </si>
  <si>
    <t>Leonardo Hotel Milan City Center - Convenzione alberghiera</t>
  </si>
  <si>
    <t xml:space="preserve">LEONARDO HOTEL HERMITAGE (CF: 08523440967)
</t>
  </si>
  <si>
    <t>LEONARDO HOTEL HERMITAGE (CF: 08523440967)</t>
  </si>
  <si>
    <t>Acquisto software Aerofotogrammetrico</t>
  </si>
  <si>
    <t xml:space="preserve">AERODRON SRL (CF: 02665480345)
ANALIST GROUP SRL (CF: 02221850643)
DRONICA SRL (CF: 04065340160)
</t>
  </si>
  <si>
    <t>ANALIST GROUP SRL (CF: 02221850643)</t>
  </si>
  <si>
    <t>Consulenza in materia di public management</t>
  </si>
  <si>
    <t>03-PROCEDURA NEGOZIATA PREVIA PUBBLICAZIONE DEL BANDO</t>
  </si>
  <si>
    <t xml:space="preserve">Borraccetti Anna Rita (CF: BRRNRT62S52D548N)
Bruno Mariella (CF: BRNMLL69A66H501A)
CASADIO STEFANO (CF: CSDSFN56L13H501V)
Marino Alberto (CF: MRNLRT62E25H501Y)
RUFFINI RENATO (CF: RFFRNT63L20A547L)
</t>
  </si>
  <si>
    <t>RUFFINI RENATO (CF: RFFRNT63L20A547L)</t>
  </si>
  <si>
    <t>Fornitura di n. 60 kit vivavoce/webcam</t>
  </si>
  <si>
    <t xml:space="preserve">ADPARTNERS SRL (CF: 03340710270)
DYNOTEK SRL (CF: 01594430702)
LYRECO ITALIA S.P.A. (CF: 11582010150)
MEDISOFT SISTEMI INFORMATICI SRL (CF: 08441191007)
ONEDIRECT SRL (CF: 05080100968)
</t>
  </si>
  <si>
    <t>Fornitura di n. 5 workstation grafiche</t>
  </si>
  <si>
    <t xml:space="preserve">3D INFORMATICA SAS (CF: 02235470784)
ALFA MULTISERVIZI S.R.L. (CF: 12357411003)
C2 SRL (CF: 01121130197)
INFOTEK SRL (CF: 02604220406)
VIRTUAL LOGIC SRL (CF: 03878640238)
</t>
  </si>
  <si>
    <t>C2 SRL (CF: 01121130197)</t>
  </si>
  <si>
    <t>Software per cartografia digitale MENCI OPK SUITE</t>
  </si>
  <si>
    <t xml:space="preserve">MENCI SOFTWARE S.R.L. (CF: 01623490511)
</t>
  </si>
  <si>
    <t>MENCI SOFTWARE S.R.L. (CF: 01623490511)</t>
  </si>
  <si>
    <t>Software APPLE FINAL CUT e MOTION</t>
  </si>
  <si>
    <t xml:space="preserve">ABC.IT S.R.L. (CF: 00321100281)
AGOSTINI (CF: 00773690490)
DPS INFORMATICA S.N.C. DI PRESELLO GIANNI &amp; C. (CF: 01486330309)
SER DATA SRL  (CF: 03919440374)
VIRTUAL LOGIC SRL (CF: 03878640238)
</t>
  </si>
  <si>
    <t>Abbonamento Sistema leggi d'Italia - Edilizia e Urbanistica</t>
  </si>
  <si>
    <t>Noleggio veicolo</t>
  </si>
  <si>
    <t>Riparazione server guasto presso la sede di Perugia</t>
  </si>
  <si>
    <t xml:space="preserve">CONCRETE SRL (CF: 11980230152)
</t>
  </si>
  <si>
    <t>CONCRETE SRL (CF: 11980230152)</t>
  </si>
  <si>
    <t>Riparazione apparecchio fax</t>
  </si>
  <si>
    <t xml:space="preserve">Digital Group Srl (CF: 08337001005)
</t>
  </si>
  <si>
    <t>Digital Group Srl (CF: 08337001005)</t>
  </si>
  <si>
    <t>Fornitura e posa in opera di componenti elettronici per i sistemi di sicurezza installati presso le sedi centrali</t>
  </si>
  <si>
    <t>Manutenzione straordinaria dei macchinari delle mense aziendali  delle sedi centrali dell'Agenzia</t>
  </si>
  <si>
    <t xml:space="preserve">INELSY SRL (CF: 06315970589)
</t>
  </si>
  <si>
    <t>Fornitura di n. 2 sedie portantina per evacuazione</t>
  </si>
  <si>
    <t xml:space="preserve">NOVAMED SRL (CF: 02948410838)
</t>
  </si>
  <si>
    <t>NOVAMED SRL (CF: 02948410838)</t>
  </si>
  <si>
    <t>Polizza di assicurazione progettisti ex art 112 comma 4 bis Dlgs 163/2006</t>
  </si>
  <si>
    <t>Fornitura di n. 6 defibrillatori</t>
  </si>
  <si>
    <t xml:space="preserve">Aliser srl (CF: 05889810726)
life tree srl (CF: 04392400281)
MEDIKRON SRL (CF: 04707001006)
MORTARA INSTRUMENT EUROPE S.R.L. (CF: 03896820374)
SUNNEXT SRL (CF: 07394350966)
</t>
  </si>
  <si>
    <t>SUNNEXT SRL (CF: 07394350966)</t>
  </si>
  <si>
    <t>Energia elettrica Largo Leopardi</t>
  </si>
  <si>
    <t>Licenza software TERMO</t>
  </si>
  <si>
    <t xml:space="preserve">NAMIRIAL SPA (CF: 02046570426)
</t>
  </si>
  <si>
    <t>NAMIRIAL SPA (CF: 02046570426)</t>
  </si>
  <si>
    <t>Fornitura di n. 125 cuffie telefoniche per i Centri di Assistenza Multicanale</t>
  </si>
  <si>
    <t xml:space="preserve">DPS INFORMATICA S.N.C. DI PRESELLO GIANNI &amp; C. (CF: 01486330309)
EZDIRECT SRL (CF: 01164670455)
KINETIC SOLUTIONS SRL (CF: 05946680693)
ONEDIRECT SRL (CF: 05080100968)
SYSTEMAX ITALY SRL (CF: 08376630151)
</t>
  </si>
  <si>
    <t>Servizi organizzativi evento 20 settembre</t>
  </si>
  <si>
    <t>Servizio di interpretariato italo-portoghese per 2 giornate di working visit nell'ambito del programma FISCALIS - Lisbona 29/30 settembre)</t>
  </si>
  <si>
    <t xml:space="preserve">D'AGOSTINO PAOLA (CF: DGSPLA75R48E919O)
SACCO MARCELLO (CF: SCCMCL71A06E506J)
</t>
  </si>
  <si>
    <t>D'AGOSTINO PAOLA (CF: DGSPLA75R48E919O)</t>
  </si>
  <si>
    <t>Fornitura di n. 10 condizionatori carrellabili</t>
  </si>
  <si>
    <t xml:space="preserve">D'AMICO S.R.L. FORNITURE E SERVIZI (CF: 08703561004)
FINITEC SRL (CF: 13906171007)
I &amp; C S.R.L. (CF: 03678891007)
MASTER FORNITURE SRL (CF: 04230741003)
MR SERVICE SRL (CF: 12479491008)
</t>
  </si>
  <si>
    <t>MASTER FORNITURE SRL (CF: 04230741003)</t>
  </si>
  <si>
    <t>Iscrizione ad in corso e-learning di aggiornamento per il Responsabile del Servizio di Prevenzione e Protezione</t>
  </si>
  <si>
    <t xml:space="preserve">Imparaora Srl (CF: 01708190507)
</t>
  </si>
  <si>
    <t>Imparaora Srl (CF: 01708190507)</t>
  </si>
  <si>
    <t>noleggio autovettura</t>
  </si>
  <si>
    <t>Incarico di consulente tecnico di parte presso il Tribunale di Roma, sezione Lavoro</t>
  </si>
  <si>
    <t xml:space="preserve">Biagini Valentina (CF: BGNVNT82C55H501U)
Cavallotti Carmine (CF: CVLCMN49H16A512D)
Covatta Antonella (CF: CVTNNL58C53Z345P)
De Mercurio Domenico (CF: DMRDNC48H27H501V)
De Simone Giorgio (CF: DSMGRG39C29H501X)
</t>
  </si>
  <si>
    <t>Covatta Antonella (CF: CVTNNL58C53Z345P)</t>
  </si>
  <si>
    <t>50 confezioni etichette Avery L6145-20</t>
  </si>
  <si>
    <t xml:space="preserve">CAPRIOLI SOLUTIONS S.R.L. (CF: 10892451005)
</t>
  </si>
  <si>
    <t>CAPRIOLI SOLUTIONS S.R.L. (CF: 10892451005)</t>
  </si>
  <si>
    <t>Effettuazione di un corso BLSD e di un corso di retraining BLSD per il personale dell'Agenzia delle Entrate</t>
  </si>
  <si>
    <t xml:space="preserve">ACAYA CONSULTING SRL (CF: 06175581005)
CARDIAC SCIENZE SRL (CF: 01620020337)
SVS GESTIONE SERVIZI S.R.L. (CF: 01646250496)
</t>
  </si>
  <si>
    <t>SVS GESTIONE SERVIZI S.R.L. (CF: 01646250496)</t>
  </si>
  <si>
    <t>Corso base di formazione antincendio</t>
  </si>
  <si>
    <t xml:space="preserve">INFORMA  (CF: 08327990589)
PIRENE S.R.L. (CF: 04991070485)
SCUOLA DI FORMAZIONE DI MESSIA D. &amp; MIZZONI F. S.N.C. (CF: 02253480608)
SINTESI SPA (CF: 03533961003)
TECHNO S.R.L. (CF: 01472660396)
</t>
  </si>
  <si>
    <t>SINTESI SPA (CF: 03533961003)</t>
  </si>
  <si>
    <t>Fornitura di n. 42 sfigmomanometri da braccio</t>
  </si>
  <si>
    <t xml:space="preserve">ALEA DI DADONE SILVIO E C. SAS (CF: 05067060011)
</t>
  </si>
  <si>
    <t>ALEA DI DADONE SILVIO E C. SAS (CF: 05067060011)</t>
  </si>
  <si>
    <t>Abbonamento on line a Cassazione.net</t>
  </si>
  <si>
    <t xml:space="preserve">Cassazione Srl (CF: 06810661006)
</t>
  </si>
  <si>
    <t>Cassazione Srl (CF: 06810661006)</t>
  </si>
  <si>
    <t>Polizza di assicurazione progettisti ex art. 24, comma 4 del Dlgs 18 aprile 2016</t>
  </si>
  <si>
    <t>Abbonamento al Bollettino Tributario d'informazione</t>
  </si>
  <si>
    <t xml:space="preserve">BOLLETTINO TRIBUTARIO SNC DI G. SALVATORES E C.  (CF: 00882700156)
</t>
  </si>
  <si>
    <t>BOLLETTINO TRIBUTARIO SNC DI G. SALVATORES E C.  (CF: 00882700156)</t>
  </si>
  <si>
    <t>Abbonamento a Sistema pluris on-line</t>
  </si>
  <si>
    <t>Intervento di rimozione di un muretto pericolante nell'immobile di via Giorgione</t>
  </si>
  <si>
    <t>Gasolio da riscaldamento per Largo Leopardi Novembre 2016</t>
  </si>
  <si>
    <t xml:space="preserve">BRONCHI COMBUSTIBILI SRL (CF: 01252710403)
</t>
  </si>
  <si>
    <t>BRONCHI COMBUSTIBILI SRL (CF: 01252710403)</t>
  </si>
  <si>
    <t>Esecuzione di interventi di ripristino delle attrezzature delle mense aziendali presso le sedi centrali dell'Agenzia</t>
  </si>
  <si>
    <t>Revisione ordinaria autoveicolo</t>
  </si>
  <si>
    <t xml:space="preserve">IMPRESA FRATTINI &amp; C. SNC (CF: 00799950589)
</t>
  </si>
  <si>
    <t>IMPRESA FRATTINI &amp; C. SNC (CF: 00799950589)</t>
  </si>
  <si>
    <t>Noleggio fotocopiatore multifunzione</t>
  </si>
  <si>
    <t>HOTEL FRIULI - CONVENZIONE</t>
  </si>
  <si>
    <t xml:space="preserve">IM.AL.TUR. S.R.L. (CF: 00621660307)
</t>
  </si>
  <si>
    <t>IM.AL.TUR. S.R.L. (CF: 00621660307)</t>
  </si>
  <si>
    <t>Spostamento dell'unitÃ  moto condensanti collegate alle celle frigo della mensa aziendale presso la sede di Via Colombo</t>
  </si>
  <si>
    <t>Fornitura di un fax EPSON</t>
  </si>
  <si>
    <t xml:space="preserve">GARMAN GRECIA SRL  (CF: 04182301004)
</t>
  </si>
  <si>
    <t>GARMAN GRECIA SRL  (CF: 04182301004)</t>
  </si>
  <si>
    <t>Iscrizione alla XX Conferenza Nazionale ASITA - Cagliari - 8-10/11/2016</t>
  </si>
  <si>
    <t xml:space="preserve">A.S.I.T.A. (CF: 02037620347)
</t>
  </si>
  <si>
    <t>A.S.I.T.A. (CF: 02037620347)</t>
  </si>
  <si>
    <t>Acquisto libri</t>
  </si>
  <si>
    <t>Servizi per l'espletamento delle procedure selettive per l'assunzione a tempo indeterminato di personale per le esigenze degli Uffici dell'Agenzia nel triennio 2016-2018</t>
  </si>
  <si>
    <t>Fornitura mouse  ergonomico Handshoemouse</t>
  </si>
  <si>
    <t xml:space="preserve">BECHTLE DIRECT SRL (CF: 01705000212)
</t>
  </si>
  <si>
    <t>BECHTLE DIRECT SRL (CF: 01705000212)</t>
  </si>
  <si>
    <t>Gasolio Largo Leopardi Dicembre 2016</t>
  </si>
  <si>
    <t>Derattizzazione, disinfestazione, deblattizzazione e disinfezione del complesso immobiliare presso il Centro di gestione documentale</t>
  </si>
  <si>
    <t xml:space="preserve">ECO IN SRL (CF: 06566891005)
HAMPTON TECNICO SANITARIA SRL  (CF: 04467331007)
LA LUX SRL (CF: 04474750652)
NO RAT SPA (CF: 03486891207)
RESTAURI E SERVIZI SRL (CF: 12280511002)
</t>
  </si>
  <si>
    <t>ECO IN SRL (CF: 06566891005)</t>
  </si>
  <si>
    <t>buoni pasto DC</t>
  </si>
  <si>
    <t>Acquisto licenze software Blue's per documentazione addebiti</t>
  </si>
  <si>
    <t xml:space="preserve">Vitrociset S.p.A. (CF: 00145180923)
</t>
  </si>
  <si>
    <t>Vitrociset S.p.A. (CF: 00145180923)</t>
  </si>
  <si>
    <t>Fornitura e posa in opera di un condizionatore monosplit</t>
  </si>
  <si>
    <t>Gasolio Gennaio Largo Leopardi</t>
  </si>
  <si>
    <t>Trasporto di documentazione e facchinaggio presso il Centro di Gestione Documentale Lotto 1 - Agenzia delle Entrate</t>
  </si>
  <si>
    <t xml:space="preserve">COOPSERVICE S.COOP.P.A.  (CF: 00310180351)
Il Risveglio Soc Coop.Sociale arl (CF: 12018841002)
RENZO SILEONI &amp; C. - TRASPORTI E SERVIZI - S.R.L. (CF: 05411161002)
ROSSI TRANSWORLD S.A.S. (CF: 05198491002)
S A F S.R.L. (CF: 04529881213)
</t>
  </si>
  <si>
    <t>Copertura assicurativa â€œ ResponsabilitÃ  Civile Auto e Natantiâ€ per lâ€™anno 2017</t>
  </si>
  <si>
    <t xml:space="preserve">UNIPOLSAI ASSICURAZIONI Spa (CF: 00818570012)
</t>
  </si>
  <si>
    <t>UNIPOLSAI ASSICURAZIONI Spa (CF: 00818570012)</t>
  </si>
  <si>
    <t>Riparazione elaboratori</t>
  </si>
  <si>
    <t>Abbonamento triennale Prezzari Informativi per l'edilizia</t>
  </si>
  <si>
    <t xml:space="preserve">DEI Srl (CF: 04083101008)
</t>
  </si>
  <si>
    <t>DEI Srl (CF: 04083101008)</t>
  </si>
  <si>
    <t>Abbonamento a rivista Il Quotidiano degli Enti Locali</t>
  </si>
  <si>
    <t>Fornitura di n. 10 termoventilatori elettrici</t>
  </si>
  <si>
    <t xml:space="preserve">2M forniture (CF: 03637990650)
</t>
  </si>
  <si>
    <t>2M forniture (CF: 03637990650)</t>
  </si>
  <si>
    <t>Realizzazione impianto TVCC</t>
  </si>
  <si>
    <t>Trasporto di documentazione e facchinaggio presso il Centro di Gestione Documentale Lotto 2 - Equitalia</t>
  </si>
  <si>
    <t>Fornitura di carta per stampe e copie per tutti gli Uffici dell'Agenzia - Lotto 1 (Piemonte, Valle d'Aosta e Liguria)</t>
  </si>
  <si>
    <t xml:space="preserve">LYRECO ITALIA S.P.A. (CF: 11582010150)
VALSECCHI GIOVANNI SRL (CF: 07997560151)
</t>
  </si>
  <si>
    <t>VALSECCHI GIOVANNI SRL (CF: 07997560151)</t>
  </si>
  <si>
    <t>Fornitura di carta per stampe e copie per tutti gli Uffici dell'Agenzia - Lotto 2 (Lombardia)</t>
  </si>
  <si>
    <t>Fornitura di carta per stampe e copie per tutti gli Uffici dell'Agenzia - Lotto 6 (Lazio, DC)</t>
  </si>
  <si>
    <t xml:space="preserve">ICR - SOCIETA' PER AZIONI  (CF: 05466391009)
LYRECO ITALIA S.P.A. (CF: 11582010150)
</t>
  </si>
  <si>
    <t>Gestione degli archivi documentali presso il Centro Operativo di Pescara e le sedi distaccate di Sulmona e Reggio Calabria</t>
  </si>
  <si>
    <t xml:space="preserve">ARCHIVIANDO DI ROSA ANNA ABELA &amp; C. S.A.S (CF: 03294090786)
CONSORZIO STABILE EURO GLOBAL SERVICE GRANDI APPALTI  (CF: 07422281001)
DEMAX DEPOSITI E TRASPORTI SPA  (CF: 06700240580)
La Veneta Servizi Spa (CF: 05185201000)
ROSSI TRANSWORLD S.A.S. (CF: 05198491002)
</t>
  </si>
  <si>
    <t>ARCHIVIANDO DI ROSA ANNA ABELA &amp; C. S.A.S (CF: 03294090786)</t>
  </si>
  <si>
    <t xml:space="preserve">Servizi di rilegatura e ripristino, ricondizionamento e restauro degli atti di pubblicitÃ  immobiliare - Lotto 8 Basilicata, Campania e Calabria </t>
  </si>
  <si>
    <t xml:space="preserve">CO.GRA.L.  SOC. COOP. a r.l. (CF: 01309900791)
</t>
  </si>
  <si>
    <t>CO.GRA.L.  SOC. COOP. a r.l. (CF: 01309900791)</t>
  </si>
  <si>
    <t>Convenzione alberghiera</t>
  </si>
  <si>
    <t xml:space="preserve">D'ONOFRIO FRANCESCO E CO. SNC (CF: 01299010213)
</t>
  </si>
  <si>
    <t>D'ONOFRIO FRANCESCO E CO. SNC (CF: 01299010213)</t>
  </si>
  <si>
    <t>servizi di rilegatura e ripristino, ricondizionamento e restauro degli atti di pubblicitÃ  immobiliare - Lotto 3 Veneto Friuli Venezia Giulia</t>
  </si>
  <si>
    <t xml:space="preserve">PALLOTTO PAOLO (CF: PLLPLA73H07E783X)
</t>
  </si>
  <si>
    <t>PALLOTTO PAOLO (CF: PLLPLA73H07E783X)</t>
  </si>
  <si>
    <t>Servizi di rilegatura e ripristino, ricondizionamento e restauro degli atti di pubblicitÃ  immobiliare - Lotto 5 Umbria Toscana</t>
  </si>
  <si>
    <t xml:space="preserve">Servizi di rilegatura e ripristino, ricondizionamento e restauro degli atti di pubblicitÃ  immobiliare - Lotto 6 Sardegna </t>
  </si>
  <si>
    <t>Iscrizione a corso Exploring e learning</t>
  </si>
  <si>
    <t xml:space="preserve">AMICUCCI FORMAZIONE SRL (CF: 01405830439)
</t>
  </si>
  <si>
    <t>AMICUCCI FORMAZIONE SRL (CF: 01405830439)</t>
  </si>
  <si>
    <t>Assegnazione codifica DOI - Anno 2016</t>
  </si>
  <si>
    <t xml:space="preserve">MEDRA SRL (CF: 04547330961)
</t>
  </si>
  <si>
    <t>MEDRA SRL (CF: 04547330961)</t>
  </si>
  <si>
    <t>Servizio di gestione rassegna stampa e rilevazioni audiovisive</t>
  </si>
  <si>
    <t>Manutenzione Impianto condizionamento</t>
  </si>
  <si>
    <t xml:space="preserve">COSIMP SRL (CF: 10579301002)
GENERALIMPIANTI SRL (CF: 05734080582)
INDOOR AMBIENTE S.R.L. (CF: 09547921008)
ROMA SIFREV SRL (CF: 08343631001)
TAGLIAFERRI SRL (CF: 04491831006)
</t>
  </si>
  <si>
    <t>COSIMP SRL (CF: 10579301002)</t>
  </si>
  <si>
    <t>Adeguamento impianto controllo accessi zone garage sedi centrali</t>
  </si>
  <si>
    <t xml:space="preserve">ALERZ Spa (CF: 11854621007)
AS.CO.T.T. SRL (CF: 04939730588)
EL.CI IMPIANTI SRL (CF: 01341130639)
P&amp;P Automazioni e sicurezza F.lli Pesce SRL (CF: 01321040667)
TMC Technology SRL (CF: 06265001211)
</t>
  </si>
  <si>
    <t>ALERZ Spa (CF: 11854621007)</t>
  </si>
  <si>
    <t>Fornitura e posa in opera di 6 mq di pavimento presso la sede di via Colombo</t>
  </si>
  <si>
    <t>Fornitura di sedute a norma per la sede di Via Licini</t>
  </si>
  <si>
    <t xml:space="preserve">CANGURO LOGISTICA SRL (CF: 02444130203)
CENTROSEDIA SRL (CF: 05902860484)
F.LLI MILIA DI MILIA L.&amp; F.LLI SAS (CF: 01686270842)
</t>
  </si>
  <si>
    <t>CENTROSEDIA SRL (CF: 05902860484)</t>
  </si>
  <si>
    <t>Verifiche periodiche impianti elevazione della sede di Largo Leopardi ai sensi dell'art. 13 del DPR 162/99</t>
  </si>
  <si>
    <t xml:space="preserve">E.L.T.I. Srl (CF: 05384711007)
</t>
  </si>
  <si>
    <t>E.L.T.I. Srl (CF: 05384711007)</t>
  </si>
  <si>
    <t>Noleggio fotocopiatori</t>
  </si>
  <si>
    <t>Servizi di pubblicazione legale dei bandi di gara e degli avvisi dell'Agenzia delle Entrate sulla Gazzetta Ufficiale, nonchÃ© dei relativi estratti sui quotidiani</t>
  </si>
  <si>
    <t xml:space="preserve">EDINDUSTRIA - CENTRO PER LE COMUNICAZIONI D'IMPRESA S.R.L. (CF: 00464710581)
FAMIS S.R.L. (CF: 02903240246)
PRESIDIA GROUP S.R.L. (CF: 07141051214)
VIVENDA Srl (CF: 08959351001)
</t>
  </si>
  <si>
    <t>VIVENDA Srl (CF: 08959351001)</t>
  </si>
  <si>
    <t>ULIVI E PALME HOTEL - CONVENZIONE</t>
  </si>
  <si>
    <t xml:space="preserve">ULIVI E PALME S.R.L. (CF: 00201730926)
</t>
  </si>
  <si>
    <t>ULIVI E PALME S.R.L. (CF: 00201730926)</t>
  </si>
  <si>
    <t>Servizio interpretariato L.I.S. - Lingua italiana segni</t>
  </si>
  <si>
    <t xml:space="preserve">FRANCHI MARIA LUISA (CF: FRNMLS56M48H501I)
IACOANGELI CRISTIANO (CF: CNGCST78M17H501R)
THOMAS BUHLING (CF: bhltms63p16z112e)
</t>
  </si>
  <si>
    <t>THOMAS BUHLING (CF: bhltms63p16z112e)</t>
  </si>
  <si>
    <t>Esecuzione di opere inerenti la sicurezza del personale della sede di Largo Leopardi</t>
  </si>
  <si>
    <t>Noleggio TaskAlfa 3510i</t>
  </si>
  <si>
    <t>Acquisizione del notiziario ANSA globale a favore dell'Agenzia delle Entrate e di Equitalia</t>
  </si>
  <si>
    <t>Servizi di stampa e recapito della corrispondenza - Lotto 1 (Stampa ed imbustamento)</t>
  </si>
  <si>
    <t xml:space="preserve">GRAPHICSCALVE S.P.A. (CF: 01294980162)
LEADERFORM SPA (CF: 02696070230)
Nexive spa (CF: 12383760159)
Postel spa (CF: 04839740489)
Selecta spa (CF: 01961900246)
</t>
  </si>
  <si>
    <t>Postel spa (CF: 04839740489)</t>
  </si>
  <si>
    <t xml:space="preserve">Servizi di stampa e recapito della corrispondenza - Lotto 2 (Nord) </t>
  </si>
  <si>
    <t xml:space="preserve">RAGGRUPPAMENTO:
- NEXIVE SCARL (CF: 07868190963) Ruolo: 02-MANDATARIA
- DOXEE SPA (CF: 02714390362) Ruolo: 01-MANDANTE
- Nexive spa (CF: 12383760159) Ruolo: 01-MANDANTE
POSTE ITALIANE SPA (CF: 97103880585)
</t>
  </si>
  <si>
    <t>POSTE ITALIANE SPA (CF: 97103880585)</t>
  </si>
  <si>
    <t>Servizi di stampa e recapito della corrispondenza - Lotto 3 (Centro)</t>
  </si>
  <si>
    <t xml:space="preserve">RAGGRUPPAMENTO:
- NEXIVE SCARL (CF: 07868190963) Ruolo: 02-MANDATARIA
- CONSORZIO STABILE OLIMPO (CF: 05036060829) Ruolo: 01-MANDANTE
- DOXEE SPA (CF: 02714390362) Ruolo: 01-MANDANTE
- Nexive spa (CF: 12383760159) Ruolo: 01-MANDANTE
POSTE ITALIANE SPA (CF: 97103880585)
</t>
  </si>
  <si>
    <t>Servizi di stampa e recapito della corrispondenza - Lotto 4 (Sud)</t>
  </si>
  <si>
    <t xml:space="preserve">RAGGRUPPAMENTO:
- NEXIVE SCARL (CF: 07868190963) Ruolo: 02-MANDATARIA
- CONSORZIO STABILE OLIMPO (CF: 05036060829) Ruolo: 01-MANDANTE
- Nexive spa (CF: 12383760159) Ruolo: 01-MANDANTE
POSTE ITALIANE SPA (CF: 97103880585)
</t>
  </si>
  <si>
    <t xml:space="preserve">RAGGRUPPAMENTO:
- NEXIVE SCARL (CF: 07868190963) Ruolo: 02-MANDATARIA
- CONSORZIO STABILE OLIMPO (CF: 05036060829) Ruolo: 01-MANDANTE
- Nexive spa (CF: 12383760159) Ruolo: 01-MANDANTE
</t>
  </si>
  <si>
    <t>BASTIANI GRAND HOTEL - CONVENZIONE</t>
  </si>
  <si>
    <t xml:space="preserve">SPLENDIDO S.P.A. HOTEL BASTIANI (CF: 00511840522)
</t>
  </si>
  <si>
    <t>SPLENDIDO S.P.A. HOTEL BASTIANI (CF: 00511840522)</t>
  </si>
  <si>
    <t xml:space="preserve">IL BACO DA SETA SNC (CF: 01106680661)
</t>
  </si>
  <si>
    <t>IL BACO DA SETA SNC (CF: 01106680661)</t>
  </si>
  <si>
    <t>HOLIDAY INN BOLOGNA - CONVENZIONE</t>
  </si>
  <si>
    <t xml:space="preserve">CITY HOTELS COMPANY BOLOGNA S.R.L. (CF: 03388550406)
</t>
  </si>
  <si>
    <t>CITY HOTELS COMPANY BOLOGNA S.R.L. (CF: 03388550406)</t>
  </si>
  <si>
    <t xml:space="preserve">Servizio di pulizia a ridotto impianto ambientale - Lotto 8 Basilicata Campania (contratto per la Campania risolto il 10/03/2017 - decorrenza 2 maggio 2017) </t>
  </si>
  <si>
    <t xml:space="preserve">RAGGRUPPAMENTO:
- SANTA BRIGIDA SOCIETA COOP.VA PER AZIONI  (CF: 04161790631) Ruolo: 02-MANDATARIA
- RISANAMENTO VESUVIO S.A.S (CF: 04565950633) Ruolo: 01-MANDANTE
CM SERVICE SRL (CF: 08766390010)
I.S.S.ITALIA S.r.l. (CF: 00215860289)
LA LUCENTEZZA S.R.L. (CF: 03222370722)
MANITAL S.C.P.A.-CONSORZIO STABILE (CF: 06466050017)
</t>
  </si>
  <si>
    <t>Fornitura di toner per stampanti per alcune Direzioni dell'Agenzia - Lotto 1</t>
  </si>
  <si>
    <t xml:space="preserve">ECO LASER INFORMATICA SRL  (CF: 04427081007)
ERREBIAN SPA (CF: 08397890586)
MYO S.r.l. (CF: 03222970406)
NUOVADATA S.R.L. (CF: 03370940482)
R.C.M. ITALIA s.r.l. (CF: 06736060630)
</t>
  </si>
  <si>
    <t>R.C.M. ITALIA s.r.l. (CF: 06736060630)</t>
  </si>
  <si>
    <t>Fornitura di toner per stampanti per alcune Direzioni dell'Agenzia - Lotto 2</t>
  </si>
  <si>
    <t>Fornitura di toner per stampanti per alcune Direzioni dell'Agenzia - Lotto 4</t>
  </si>
  <si>
    <t>Fornitura di toner per stampanti per alcune Direzioni dell'Agenzia - Lotto 3</t>
  </si>
  <si>
    <t>Manutenzione degli impianti antintrusione, videosorveglianza e controllo accessi delle sedi centrali</t>
  </si>
  <si>
    <t xml:space="preserve">C.R.B. SRL (CF: 08674911006)
INTEC SERVICE Srl (CF: 02820290647)
SECURPLANET S.R.L. (CF: 11481391008)
SICUREZZA GLOBALE 1972 S.R.L. (CF: 13115671003)
TESY LAB (CF: 09400381001)
</t>
  </si>
  <si>
    <t>Servizio di trasporto per il personale in servizio presso gli Uffici Centrali dell'Agenzia delle Entrate</t>
  </si>
  <si>
    <t xml:space="preserve">AUTOLINEE DOVER SRL DI VECCARO COSIMO (CF: 04183270729)
AUTOLINEE F.LLI SPIGHI S.R.L. (CF: 00345880405)
EUROPA VIAGGI DI RONCI ANTONIO &amp; C. SNC (CF: 01558740591)
LOSURDO GIUSEPPE (CF: LSRGPP57S17M203Y)
SAILING TOUR S.R.L. (CF: 01381700333)
</t>
  </si>
  <si>
    <t>LOSURDO GIUSEPPE (CF: LSRGPP57S17M203Y)</t>
  </si>
  <si>
    <t>HOTEL MERCURE PALERMO - CONVENZIONE</t>
  </si>
  <si>
    <t xml:space="preserve">HOTEL PRINCIPE D'ARAGONA S.R.L. (CF: 05701170820)
</t>
  </si>
  <si>
    <t>HOTEL PRINCIPE D'ARAGONA S.R.L. (CF: 05701170820)</t>
  </si>
  <si>
    <t>ROSCIOLI CATENA ALBERGHIERA - CONVENZIONE</t>
  </si>
  <si>
    <t xml:space="preserve">ROSCIOLI HOTELS SOC. CONS. A R.L. (CF: 08649620583)
</t>
  </si>
  <si>
    <t>ROSCIOLI HOTELS SOC. CONS. A R.L. (CF: 08649620583)</t>
  </si>
  <si>
    <t>UNA HOTELS CATENA ALBERGHIERA - CONVENZIONE</t>
  </si>
  <si>
    <t xml:space="preserve">UNA S.P.A. (CF: 00729680157)
</t>
  </si>
  <si>
    <t>UNA S.P.A. (CF: 00729680157)</t>
  </si>
  <si>
    <t>Dati aggiornati al 31-12-2018</t>
  </si>
  <si>
    <t>OLY HOTEL - Convenzione alberghiera</t>
  </si>
  <si>
    <t xml:space="preserve">OLY HOTEL SRL (CF: 05454500587)
</t>
  </si>
  <si>
    <t>OLY HOTEL SRL (CF: 05454500587)</t>
  </si>
  <si>
    <t>PERUGIA HOTEL - CONVENZIONE</t>
  </si>
  <si>
    <t xml:space="preserve">PERUGIA HOTEL S.R.L. (CF: 01180080549)
</t>
  </si>
  <si>
    <t>PERUGIA HOTEL S.R.L. (CF: 01180080549)</t>
  </si>
  <si>
    <t>SHERATON HOTEL ROMA - CONVENZIONE</t>
  </si>
  <si>
    <t xml:space="preserve">AERHOTEL S.R.L. (CF: 00441990587)
</t>
  </si>
  <si>
    <t>AERHOTEL S.R.L. (CF: 00441990587)</t>
  </si>
  <si>
    <t>SANGALLO PALACE HOTEL PERUGIA - CONVENZIONE</t>
  </si>
  <si>
    <t xml:space="preserve">SAN GALLO PALACE HOTEL S.R.L. (CF: 00316610542)
</t>
  </si>
  <si>
    <t>SAN GALLO PALACE HOTEL S.R.L. (CF: 00316610542)</t>
  </si>
  <si>
    <t>VILLA DELL'OMBRELLINO - CONVENZIONE</t>
  </si>
  <si>
    <t xml:space="preserve">VILLA DELL'OMBRELLINO SRL (CF: 08441281006)
</t>
  </si>
  <si>
    <t>VILLA DELL'OMBRELLINO SRL (CF: 08441281006)</t>
  </si>
  <si>
    <t>HOTEL PULITZER - CONVENZIONE</t>
  </si>
  <si>
    <t xml:space="preserve">ALVARES S.R.L. (CF: 08753091001)
</t>
  </si>
  <si>
    <t>ALVARES S.R.L. (CF: 08753091001)</t>
  </si>
  <si>
    <t>HOTEL ELVETIA - CONVENZIONE</t>
  </si>
  <si>
    <t xml:space="preserve">HOTEL ELVETIA SRL (CF: 01347300996)
</t>
  </si>
  <si>
    <t>HOTEL ELVETIA SRL (CF: 01347300996)</t>
  </si>
  <si>
    <t xml:space="preserve">SPACE HOTELS SOCIETA COOPERATIVA (CF: 80038950582)
</t>
  </si>
  <si>
    <t>SPACE HOTELS SOCIETA COOPERATIVA (CF: 80038950582)</t>
  </si>
  <si>
    <t>BETTOJA HOTEL MASSIMO D'AZEGLIO, ATLANTICO, MEDITERRANEO - CONVENZIONE</t>
  </si>
  <si>
    <t xml:space="preserve">AZIENDE ALBERGHIERE BETTOJA S.P.A. (CF: 00458710589)
</t>
  </si>
  <si>
    <t>AZIENDE ALBERGHIERE BETTOJA S.P.A. (CF: 00458710589)</t>
  </si>
  <si>
    <t>DOUBLETREE HOTEL - CONVENZIONE</t>
  </si>
  <si>
    <t xml:space="preserve">PROMA S.R.L. (CF: 03190900922)
</t>
  </si>
  <si>
    <t>PROMA S.R.L. (CF: 03190900922)</t>
  </si>
  <si>
    <t>CATENA ALBERGHIERA ACCOR HOTEL</t>
  </si>
  <si>
    <t xml:space="preserve">ACCOR HOSPITALITY ITALIA S.R.L. (CF: 09421280158)
</t>
  </si>
  <si>
    <t>ACCOR HOSPITALITY ITALIA S.R.L. (CF: 09421280158)</t>
  </si>
  <si>
    <t>Hotel Ambasciatori - Convenzione</t>
  </si>
  <si>
    <t>HOTEL REGINA - CONVENZIONE</t>
  </si>
  <si>
    <t xml:space="preserve">TRECI SNC DI CIDONI D. E CANTISANI C. (CF: 01560320218)
</t>
  </si>
  <si>
    <t>TRECI SNC DI CIDONI D. E CANTISANI C. (CF: 01560320218)</t>
  </si>
  <si>
    <t>VICTORIA HOTEL - CONVENZIONE</t>
  </si>
  <si>
    <t xml:space="preserve">VICTORIA HOTEL S.R.L. (CF: 01818500686)
</t>
  </si>
  <si>
    <t>HOTEL PLAZA - CONVENZIONE</t>
  </si>
  <si>
    <t xml:space="preserve">HOTEL PLAZA S.P.A. (CF: 00182020271)
</t>
  </si>
  <si>
    <t>HOTEL PLAZA S.P.A. (CF: 00182020271)</t>
  </si>
  <si>
    <t>HOLIDAY INN - CONVENZIONE</t>
  </si>
  <si>
    <t xml:space="preserve">CITY HOTELS COMPANY TORINO S.R.L. (CF: 03542750405)
</t>
  </si>
  <si>
    <t>CITY HOTELS COMPANY TORINO S.R.L. (CF: 03542750405)</t>
  </si>
  <si>
    <t>H10 ROMA CITTA' - CONVENZIONE</t>
  </si>
  <si>
    <t xml:space="preserve">BARCINO GESTIONI S.R.L. (CF: 10135531001)
</t>
  </si>
  <si>
    <t>BARCINO GESTIONI S.R.L. (CF: 10135531001)</t>
  </si>
  <si>
    <t>GRAND HOTEL ADRIATICO - CONVENZIONE</t>
  </si>
  <si>
    <t xml:space="preserve">ALBERGHIERA ADRIATICA AL.A. (CF: 00182150276)
</t>
  </si>
  <si>
    <t>ALBERGHIERA ADRIATICA AL.A. (CF: 00182150276)</t>
  </si>
  <si>
    <t xml:space="preserve">GRAND HOTEL PASSETTO DI ORNELLA PIERMATTEI &amp; C.  (CF: 01327080428)
</t>
  </si>
  <si>
    <t>GRAND HOTEL PASSETTO DI ORNELLA PIERMATTEI &amp; C.  (CF: 01327080428)</t>
  </si>
  <si>
    <t>CONCERTO HOTEL - CATENA ALBERGHIERA</t>
  </si>
  <si>
    <t xml:space="preserve">CONCERTO HOTELS (CF: 05016120486)
</t>
  </si>
  <si>
    <t>CONCERTO HOTELS (CF: 05016120486)</t>
  </si>
  <si>
    <t>DORIA GRAND HOTEL - CONVENZIONE</t>
  </si>
  <si>
    <t xml:space="preserve">EUROFINANZIARIA SPA (CF: 03692290962)
</t>
  </si>
  <si>
    <t>EUROFINANZIARIA SPA (CF: 03692290962)</t>
  </si>
  <si>
    <t>HOTEL ESPLANADE - CONVENZIONE</t>
  </si>
  <si>
    <t xml:space="preserve">ESPLANADE S.P.A. (CF: 00062380688)
</t>
  </si>
  <si>
    <t>ESPLANADE S.P.A. (CF: 00062380688)</t>
  </si>
  <si>
    <t>HOTEL SAN GIORGIO - CONVENZIONE</t>
  </si>
  <si>
    <t xml:space="preserve">ALMA S.R.L. (CF: 01616970701)
</t>
  </si>
  <si>
    <t>ALMA S.R.L. (CF: 01616970701)</t>
  </si>
  <si>
    <t>GRAND HOTEL MINERVA - CONVENZIONE</t>
  </si>
  <si>
    <t xml:space="preserve">IMMOBILIARE MINERVA S.P.A. (CF: 00907460489)
</t>
  </si>
  <si>
    <t>IMMOBILIARE MINERVA S.P.A. (CF: 00907460489)</t>
  </si>
  <si>
    <t>SAN PAOLO PALACE - CONVENZIONE</t>
  </si>
  <si>
    <t xml:space="preserve">SEA BEACH IMMOBILIARE S.R.L. (CF: 03841970829)
</t>
  </si>
  <si>
    <t>SEA BEACH IMMOBILIARE S.R.L. (CF: 03841970829)</t>
  </si>
  <si>
    <t>HOTEL EUROPA TARANTO - CONVENZIONE</t>
  </si>
  <si>
    <t xml:space="preserve">S.I.A.M. S.P.A. (CF: 00318420734)
</t>
  </si>
  <si>
    <t>S.I.A.M. S.P.A. (CF: 00318420734)</t>
  </si>
  <si>
    <t>ADAGIO ROMA BALDUINA - CONVENZIONE</t>
  </si>
  <si>
    <t xml:space="preserve">ADAGIO ITALIA S.R.L. (CF: 08402250966)
</t>
  </si>
  <si>
    <t>ADAGIO ITALIA S.R.L. (CF: 08402250966)</t>
  </si>
  <si>
    <t>POLIZIANO HOTEL - CONVENZIONE</t>
  </si>
  <si>
    <t xml:space="preserve">PAOLETTA GARDEN SRL (CF: 09394320155)
</t>
  </si>
  <si>
    <t>PAOLETTA GARDEN SRL (CF: 09394320155)</t>
  </si>
  <si>
    <t>HOTEL ANNUNZIATA - CONVENZIONE</t>
  </si>
  <si>
    <t xml:space="preserve">ALBERGO ANNUNZIATA SRL (CF: 00651540387)
</t>
  </si>
  <si>
    <t>ALBERGO ANNUNZIATA SRL (CF: 00651540387)</t>
  </si>
  <si>
    <t>GRAND HOTEL BAGLIONI - CONVENZIONE</t>
  </si>
  <si>
    <t xml:space="preserve">COMPAGNIA ITALIANA ALBERGHI S.p.a. (CF: 00102590908)
</t>
  </si>
  <si>
    <t>COMPAGNIA ITALIANA ALBERGHI S.p.a. (CF: 00102590908)</t>
  </si>
  <si>
    <t>CATENA ALBERGHIERA BEST WESTERN ITALIA SPA</t>
  </si>
  <si>
    <t xml:space="preserve">BEST WESTERN ITALIA SPA (CF: 02747690010)
</t>
  </si>
  <si>
    <t>BEST WESTERN ITALIA SPA (CF: 02747690010)</t>
  </si>
  <si>
    <t>E-HOTEL - CONVENZIONE</t>
  </si>
  <si>
    <t xml:space="preserve">HOSPITALITY GROUP SRL (CF: 02559490806)
</t>
  </si>
  <si>
    <t>HOSPITALITY GROUP SRL (CF: 02559490806)</t>
  </si>
  <si>
    <t>BENNY HOTEL - CONVENZIONE</t>
  </si>
  <si>
    <t xml:space="preserve">BENNY HOTEL S.R.L. (CF: 02186690794)
</t>
  </si>
  <si>
    <t>BENNY HOTEL S.R.L. (CF: 02186690794)</t>
  </si>
  <si>
    <t>MARCELLA ROYAL HOTEL - CONVENZIONE</t>
  </si>
  <si>
    <t xml:space="preserve">LA CARLINA S.R.L. (CF: 06308961009)
</t>
  </si>
  <si>
    <t>LA CARLINA S.R.L. (CF: 06308961009)</t>
  </si>
  <si>
    <t>HOTEL MONDIAL - CONVENZIONE</t>
  </si>
  <si>
    <t xml:space="preserve">P &amp; P s.r.l. (CF: 03314210273)
</t>
  </si>
  <si>
    <t>P &amp; P s.r.l. (CF: 03314210273)</t>
  </si>
  <si>
    <t>HOTEL PARADISE - CONVENZIONE</t>
  </si>
  <si>
    <t xml:space="preserve">PARADISE S.N.C. DI GRAZIA MONICA E MAZZONI MARISA (CF: 01925721209)
</t>
  </si>
  <si>
    <t>PARADISE S.N.C. DI GRAZIA MONICA E MAZZONI MARISA (CF: 01925721209)</t>
  </si>
  <si>
    <t>RIVOLI HOTEL - CONVENZIONE</t>
  </si>
  <si>
    <t xml:space="preserve">HOTEL RIVOLI S.P.A (CF: 04236000487)
</t>
  </si>
  <si>
    <t>HOTEL RIVOLI S.P.A (CF: 04236000487)</t>
  </si>
  <si>
    <t>STARHOTEL CATENA ALBERGHIERA - CONVENZIONE</t>
  </si>
  <si>
    <t xml:space="preserve">STARHOTELS S.P.A. (CF: 03360930154)
</t>
  </si>
  <si>
    <t>STARHOTELS S.P.A. (CF: 03360930154)</t>
  </si>
  <si>
    <t>HOTEL TONIC - CONVENZIONE</t>
  </si>
  <si>
    <t xml:space="preserve">HOTEL TONIC S.R.L. (CF: 05912350823)
</t>
  </si>
  <si>
    <t>HOTEL TONIC S.R.L. (CF: 05912350823)</t>
  </si>
  <si>
    <t>HOTEL BUONCONSIGLIO - CONVENZIONE</t>
  </si>
  <si>
    <t xml:space="preserve">TOURISTAL S.R.L. (CF: 00225560226)
</t>
  </si>
  <si>
    <t>TOURISTAL S.R.L. (CF: 00225560226)</t>
  </si>
  <si>
    <t>BarcelÃ² Aran Mantegna Hotel - Convenzione alberghiera</t>
  </si>
  <si>
    <t xml:space="preserve">BARCELO GESTION HOTELS (CF: 12332681001)
</t>
  </si>
  <si>
    <t>BARCELO GESTION HOTELS (CF: 12332681001)</t>
  </si>
  <si>
    <t xml:space="preserve">NH ITALIA S.P.A. (CF: 04440220962)
</t>
  </si>
  <si>
    <t>NH ITALIA S.P.A. (CF: 04440220962)</t>
  </si>
  <si>
    <t xml:space="preserve">PAGANELLA S.R.L. (CF: 00383510229)
</t>
  </si>
  <si>
    <t>PAGANELLA S.R.L. (CF: 00383510229)</t>
  </si>
  <si>
    <t xml:space="preserve">OPERA DIOCESANA PRESERVAZIONE DELLA FEDE (CF: 00435530035)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</si>
</sst>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8" fillId="0" borderId="0" xfId="0" applyFont="1"/>
    <xf numFmtId="0" fontId="18" fillId="0" borderId="0" xfId="0" applyFont="1" applyAlignment="1">
      <alignment wrapText="1"/>
    </xf>
    <xf numFmtId="14" fontId="18" fillId="0" borderId="0" xfId="0" applyNumberFormat="1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9"/>
  <sheetViews>
    <sheetView tabSelected="1" workbookViewId="0">
      <selection activeCell="E263" sqref="E263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633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"X72171FE84"</f>
        <v>X72171FE84</v>
      </c>
      <c r="B3" t="str">
        <f t="shared" ref="B3:B66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4350</v>
      </c>
      <c r="I3" s="2">
        <v>42373</v>
      </c>
      <c r="J3" s="2">
        <v>42400</v>
      </c>
      <c r="K3">
        <v>4350</v>
      </c>
    </row>
    <row r="4" spans="1:11" x14ac:dyDescent="0.25">
      <c r="A4" t="str">
        <f>"XC2171FE82"</f>
        <v>XC2171FE82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876.78</v>
      </c>
      <c r="I4" s="2">
        <v>42376</v>
      </c>
      <c r="J4" s="2">
        <v>42376</v>
      </c>
      <c r="K4">
        <v>876.78</v>
      </c>
    </row>
    <row r="5" spans="1:11" x14ac:dyDescent="0.25">
      <c r="A5" t="str">
        <f>"X7618115A9"</f>
        <v>X7618115A9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395.4</v>
      </c>
      <c r="I5" s="2">
        <v>42402</v>
      </c>
      <c r="J5" s="2">
        <v>42417</v>
      </c>
      <c r="K5">
        <v>395.4</v>
      </c>
    </row>
    <row r="6" spans="1:11" x14ac:dyDescent="0.25">
      <c r="A6" t="str">
        <f>"X30171FE60"</f>
        <v>X30171FE60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3013.04</v>
      </c>
      <c r="I6" s="2">
        <v>42376</v>
      </c>
      <c r="J6" s="2">
        <v>42390</v>
      </c>
      <c r="K6">
        <v>3013.04</v>
      </c>
    </row>
    <row r="7" spans="1:11" x14ac:dyDescent="0.25">
      <c r="A7" t="str">
        <f>"XB7171FE7C"</f>
        <v>XB7171FE7C</v>
      </c>
      <c r="B7" t="str">
        <f t="shared" si="0"/>
        <v>06363391001</v>
      </c>
      <c r="C7" t="s">
        <v>15</v>
      </c>
      <c r="D7" t="s">
        <v>29</v>
      </c>
      <c r="E7" t="s">
        <v>30</v>
      </c>
      <c r="F7" s="1" t="s">
        <v>31</v>
      </c>
      <c r="G7" t="s">
        <v>32</v>
      </c>
      <c r="H7">
        <v>12299</v>
      </c>
      <c r="I7" s="2">
        <v>42388</v>
      </c>
      <c r="K7">
        <v>12299</v>
      </c>
    </row>
    <row r="8" spans="1:11" x14ac:dyDescent="0.25">
      <c r="A8" t="str">
        <f>"648236372B"</f>
        <v>648236372B</v>
      </c>
      <c r="B8" t="str">
        <f t="shared" si="0"/>
        <v>06363391001</v>
      </c>
      <c r="C8" t="s">
        <v>15</v>
      </c>
      <c r="D8" t="s">
        <v>33</v>
      </c>
      <c r="E8" t="s">
        <v>30</v>
      </c>
      <c r="F8" s="1" t="s">
        <v>34</v>
      </c>
      <c r="G8" t="s">
        <v>35</v>
      </c>
      <c r="H8">
        <v>13400</v>
      </c>
      <c r="I8" s="2">
        <v>42394</v>
      </c>
      <c r="J8" s="2">
        <v>42415</v>
      </c>
      <c r="K8">
        <v>13400</v>
      </c>
    </row>
    <row r="9" spans="1:11" x14ac:dyDescent="0.25">
      <c r="A9" t="str">
        <f>"X4318115A4"</f>
        <v>X4318115A4</v>
      </c>
      <c r="B9" t="str">
        <f t="shared" si="0"/>
        <v>06363391001</v>
      </c>
      <c r="C9" t="s">
        <v>15</v>
      </c>
      <c r="D9" t="s">
        <v>36</v>
      </c>
      <c r="E9" t="s">
        <v>17</v>
      </c>
      <c r="F9" s="1" t="s">
        <v>37</v>
      </c>
      <c r="G9" t="s">
        <v>38</v>
      </c>
      <c r="H9">
        <v>1152</v>
      </c>
      <c r="I9" s="2">
        <v>42396</v>
      </c>
      <c r="J9" s="2">
        <v>42429</v>
      </c>
      <c r="K9">
        <v>1152</v>
      </c>
    </row>
    <row r="10" spans="1:11" x14ac:dyDescent="0.25">
      <c r="A10" t="str">
        <f>"65751208AA"</f>
        <v>65751208AA</v>
      </c>
      <c r="B10" t="str">
        <f t="shared" si="0"/>
        <v>06363391001</v>
      </c>
      <c r="C10" t="s">
        <v>15</v>
      </c>
      <c r="D10" t="s">
        <v>39</v>
      </c>
      <c r="E10" t="s">
        <v>40</v>
      </c>
      <c r="F10" s="1" t="s">
        <v>41</v>
      </c>
      <c r="G10" t="s">
        <v>42</v>
      </c>
      <c r="H10">
        <v>0</v>
      </c>
      <c r="I10" s="2">
        <v>42401</v>
      </c>
      <c r="J10" s="2">
        <v>42409</v>
      </c>
      <c r="K10">
        <v>4143.91</v>
      </c>
    </row>
    <row r="11" spans="1:11" x14ac:dyDescent="0.25">
      <c r="A11" t="str">
        <f>"X3118115B1"</f>
        <v>X3118115B1</v>
      </c>
      <c r="B11" t="str">
        <f t="shared" si="0"/>
        <v>06363391001</v>
      </c>
      <c r="C11" t="s">
        <v>15</v>
      </c>
      <c r="D11" t="s">
        <v>43</v>
      </c>
      <c r="E11" t="s">
        <v>17</v>
      </c>
      <c r="F11" s="1" t="s">
        <v>44</v>
      </c>
      <c r="G11" t="s">
        <v>45</v>
      </c>
      <c r="H11">
        <v>0</v>
      </c>
      <c r="I11" s="2">
        <v>42370</v>
      </c>
      <c r="J11" s="2">
        <v>43100</v>
      </c>
      <c r="K11">
        <v>333.44</v>
      </c>
    </row>
    <row r="12" spans="1:11" x14ac:dyDescent="0.25">
      <c r="A12" t="str">
        <f>"X8118115AF"</f>
        <v>X8118115AF</v>
      </c>
      <c r="B12" t="str">
        <f t="shared" si="0"/>
        <v>06363391001</v>
      </c>
      <c r="C12" t="s">
        <v>15</v>
      </c>
      <c r="D12" t="s">
        <v>46</v>
      </c>
      <c r="E12" t="s">
        <v>17</v>
      </c>
      <c r="F12" s="1" t="s">
        <v>44</v>
      </c>
      <c r="G12" t="s">
        <v>45</v>
      </c>
      <c r="H12">
        <v>0</v>
      </c>
      <c r="I12" s="2">
        <v>42370</v>
      </c>
      <c r="J12" s="2">
        <v>43100</v>
      </c>
      <c r="K12">
        <v>125</v>
      </c>
    </row>
    <row r="13" spans="1:11" x14ac:dyDescent="0.25">
      <c r="A13" t="str">
        <f>"X0918115B2"</f>
        <v>X0918115B2</v>
      </c>
      <c r="B13" t="str">
        <f t="shared" si="0"/>
        <v>06363391001</v>
      </c>
      <c r="C13" t="s">
        <v>15</v>
      </c>
      <c r="D13" t="s">
        <v>47</v>
      </c>
      <c r="E13" t="s">
        <v>17</v>
      </c>
      <c r="F13" s="1" t="s">
        <v>48</v>
      </c>
      <c r="G13" t="s">
        <v>49</v>
      </c>
      <c r="H13">
        <v>0</v>
      </c>
      <c r="I13" s="2">
        <v>42370</v>
      </c>
      <c r="J13" s="2">
        <v>43100</v>
      </c>
      <c r="K13">
        <v>0</v>
      </c>
    </row>
    <row r="14" spans="1:11" x14ac:dyDescent="0.25">
      <c r="A14" t="str">
        <f>"XDC18115B3"</f>
        <v>XDC18115B3</v>
      </c>
      <c r="B14" t="str">
        <f t="shared" si="0"/>
        <v>06363391001</v>
      </c>
      <c r="C14" t="s">
        <v>15</v>
      </c>
      <c r="D14" t="s">
        <v>50</v>
      </c>
      <c r="E14" t="s">
        <v>17</v>
      </c>
      <c r="F14" s="1" t="s">
        <v>48</v>
      </c>
      <c r="G14" t="s">
        <v>49</v>
      </c>
      <c r="H14">
        <v>0</v>
      </c>
      <c r="I14" s="2">
        <v>42370</v>
      </c>
      <c r="J14" s="2">
        <v>42886</v>
      </c>
      <c r="K14">
        <v>0</v>
      </c>
    </row>
    <row r="15" spans="1:11" x14ac:dyDescent="0.25">
      <c r="A15" t="str">
        <f>"X5918115B0"</f>
        <v>X5918115B0</v>
      </c>
      <c r="B15" t="str">
        <f t="shared" si="0"/>
        <v>06363391001</v>
      </c>
      <c r="C15" t="s">
        <v>15</v>
      </c>
      <c r="D15" t="s">
        <v>51</v>
      </c>
      <c r="E15" t="s">
        <v>17</v>
      </c>
      <c r="F15" s="1" t="s">
        <v>48</v>
      </c>
      <c r="G15" t="s">
        <v>49</v>
      </c>
      <c r="H15">
        <v>0</v>
      </c>
      <c r="I15" s="2">
        <v>42370</v>
      </c>
      <c r="J15" s="2">
        <v>43100</v>
      </c>
      <c r="K15">
        <v>0</v>
      </c>
    </row>
    <row r="16" spans="1:11" x14ac:dyDescent="0.25">
      <c r="A16" t="str">
        <f>"XA918115AE"</f>
        <v>XA918115AE</v>
      </c>
      <c r="B16" t="str">
        <f t="shared" si="0"/>
        <v>06363391001</v>
      </c>
      <c r="C16" t="s">
        <v>15</v>
      </c>
      <c r="D16" t="s">
        <v>52</v>
      </c>
      <c r="E16" t="s">
        <v>17</v>
      </c>
      <c r="F16" s="1" t="s">
        <v>53</v>
      </c>
      <c r="G16" t="s">
        <v>54</v>
      </c>
      <c r="H16">
        <v>0</v>
      </c>
      <c r="I16" s="2">
        <v>42370</v>
      </c>
      <c r="J16" s="2">
        <v>43100</v>
      </c>
      <c r="K16">
        <v>2861.1</v>
      </c>
    </row>
    <row r="17" spans="1:11" x14ac:dyDescent="0.25">
      <c r="A17" t="str">
        <f>"657961995B"</f>
        <v>657961995B</v>
      </c>
      <c r="B17" t="str">
        <f t="shared" si="0"/>
        <v>06363391001</v>
      </c>
      <c r="C17" t="s">
        <v>15</v>
      </c>
      <c r="D17" t="s">
        <v>55</v>
      </c>
      <c r="E17" t="s">
        <v>40</v>
      </c>
      <c r="F17" s="1" t="s">
        <v>56</v>
      </c>
      <c r="G17" t="s">
        <v>57</v>
      </c>
      <c r="H17">
        <v>0</v>
      </c>
      <c r="I17" s="2">
        <v>42461</v>
      </c>
      <c r="J17" s="2">
        <v>42825</v>
      </c>
      <c r="K17">
        <v>58933.05</v>
      </c>
    </row>
    <row r="18" spans="1:11" x14ac:dyDescent="0.25">
      <c r="A18" t="str">
        <f>"XEA171FE81"</f>
        <v>XEA171FE81</v>
      </c>
      <c r="B18" t="str">
        <f t="shared" si="0"/>
        <v>06363391001</v>
      </c>
      <c r="C18" t="s">
        <v>15</v>
      </c>
      <c r="D18" t="s">
        <v>58</v>
      </c>
      <c r="E18" t="s">
        <v>17</v>
      </c>
      <c r="F18" s="1" t="s">
        <v>59</v>
      </c>
      <c r="G18" t="s">
        <v>60</v>
      </c>
      <c r="H18">
        <v>6600</v>
      </c>
      <c r="I18" s="2">
        <v>42401</v>
      </c>
      <c r="J18" s="2">
        <v>42766</v>
      </c>
      <c r="K18">
        <v>6600</v>
      </c>
    </row>
    <row r="19" spans="1:11" x14ac:dyDescent="0.25">
      <c r="A19" t="str">
        <f>"X6B18115A3"</f>
        <v>X6B18115A3</v>
      </c>
      <c r="B19" t="str">
        <f t="shared" si="0"/>
        <v>06363391001</v>
      </c>
      <c r="C19" t="s">
        <v>15</v>
      </c>
      <c r="D19" t="s">
        <v>61</v>
      </c>
      <c r="E19" t="s">
        <v>17</v>
      </c>
      <c r="F19" s="1" t="s">
        <v>62</v>
      </c>
      <c r="G19" t="s">
        <v>63</v>
      </c>
      <c r="H19">
        <v>938.4</v>
      </c>
      <c r="I19" s="2">
        <v>42402</v>
      </c>
      <c r="J19" s="2">
        <v>42429</v>
      </c>
      <c r="K19">
        <v>938.4</v>
      </c>
    </row>
    <row r="20" spans="1:11" x14ac:dyDescent="0.25">
      <c r="A20" t="str">
        <f>"X29171FE73"</f>
        <v>X29171FE73</v>
      </c>
      <c r="B20" t="str">
        <f t="shared" si="0"/>
        <v>06363391001</v>
      </c>
      <c r="C20" t="s">
        <v>15</v>
      </c>
      <c r="D20" t="s">
        <v>64</v>
      </c>
      <c r="E20" t="s">
        <v>17</v>
      </c>
      <c r="F20" s="1" t="s">
        <v>65</v>
      </c>
      <c r="G20" t="s">
        <v>66</v>
      </c>
      <c r="H20">
        <v>18750</v>
      </c>
      <c r="I20" s="2">
        <v>42404</v>
      </c>
      <c r="J20" s="2">
        <v>42770</v>
      </c>
      <c r="K20">
        <v>18750</v>
      </c>
    </row>
    <row r="21" spans="1:11" x14ac:dyDescent="0.25">
      <c r="A21" t="str">
        <f>"X9718115BB"</f>
        <v>X9718115BB</v>
      </c>
      <c r="B21" t="str">
        <f t="shared" si="0"/>
        <v>06363391001</v>
      </c>
      <c r="C21" t="s">
        <v>15</v>
      </c>
      <c r="D21" t="s">
        <v>67</v>
      </c>
      <c r="E21" t="s">
        <v>17</v>
      </c>
      <c r="F21" s="1" t="s">
        <v>68</v>
      </c>
      <c r="G21" t="s">
        <v>69</v>
      </c>
      <c r="H21">
        <v>139.30000000000001</v>
      </c>
      <c r="I21" s="2">
        <v>42415</v>
      </c>
      <c r="J21" s="2">
        <v>42426</v>
      </c>
      <c r="K21">
        <v>139.30000000000001</v>
      </c>
    </row>
    <row r="22" spans="1:11" x14ac:dyDescent="0.25">
      <c r="A22" t="str">
        <f>"XBC15D9DC7"</f>
        <v>XBC15D9DC7</v>
      </c>
      <c r="B22" t="str">
        <f t="shared" si="0"/>
        <v>06363391001</v>
      </c>
      <c r="C22" t="s">
        <v>15</v>
      </c>
      <c r="D22" t="s">
        <v>70</v>
      </c>
      <c r="E22" t="s">
        <v>17</v>
      </c>
      <c r="F22" s="1" t="s">
        <v>71</v>
      </c>
      <c r="G22" t="s">
        <v>72</v>
      </c>
      <c r="H22">
        <v>22947.7</v>
      </c>
      <c r="I22" s="2">
        <v>42403</v>
      </c>
      <c r="J22" s="2">
        <v>42768</v>
      </c>
      <c r="K22">
        <v>22947.64</v>
      </c>
    </row>
    <row r="23" spans="1:11" x14ac:dyDescent="0.25">
      <c r="A23" t="str">
        <f>"6593816D16"</f>
        <v>6593816D16</v>
      </c>
      <c r="B23" t="str">
        <f t="shared" si="0"/>
        <v>06363391001</v>
      </c>
      <c r="C23" t="s">
        <v>15</v>
      </c>
      <c r="D23" t="s">
        <v>73</v>
      </c>
      <c r="E23" t="s">
        <v>74</v>
      </c>
      <c r="F23" s="1" t="s">
        <v>75</v>
      </c>
      <c r="G23" t="s">
        <v>76</v>
      </c>
      <c r="H23">
        <v>41152.75</v>
      </c>
      <c r="I23" s="2">
        <v>42370</v>
      </c>
      <c r="J23" s="2">
        <v>42735</v>
      </c>
      <c r="K23">
        <v>41152.730000000003</v>
      </c>
    </row>
    <row r="24" spans="1:11" x14ac:dyDescent="0.25">
      <c r="A24" t="str">
        <f>"X1B18115A5"</f>
        <v>X1B18115A5</v>
      </c>
      <c r="B24" t="str">
        <f t="shared" si="0"/>
        <v>06363391001</v>
      </c>
      <c r="C24" t="s">
        <v>15</v>
      </c>
      <c r="D24" t="s">
        <v>77</v>
      </c>
      <c r="E24" t="s">
        <v>17</v>
      </c>
      <c r="F24" s="1" t="s">
        <v>65</v>
      </c>
      <c r="G24" t="s">
        <v>66</v>
      </c>
      <c r="H24">
        <v>750</v>
      </c>
      <c r="I24" s="2">
        <v>42370</v>
      </c>
      <c r="J24" s="2">
        <v>42735</v>
      </c>
      <c r="K24">
        <v>750</v>
      </c>
    </row>
    <row r="25" spans="1:11" x14ac:dyDescent="0.25">
      <c r="A25" t="str">
        <f>"Z3C189DA02"</f>
        <v>Z3C189DA02</v>
      </c>
      <c r="B25" t="str">
        <f t="shared" si="0"/>
        <v>06363391001</v>
      </c>
      <c r="C25" t="s">
        <v>15</v>
      </c>
      <c r="D25" t="s">
        <v>78</v>
      </c>
      <c r="E25" t="s">
        <v>17</v>
      </c>
      <c r="F25" s="1" t="s">
        <v>79</v>
      </c>
      <c r="G25" t="s">
        <v>80</v>
      </c>
      <c r="H25">
        <v>1500</v>
      </c>
      <c r="I25" s="2">
        <v>42370</v>
      </c>
      <c r="J25" s="2">
        <v>42735</v>
      </c>
      <c r="K25">
        <v>1500</v>
      </c>
    </row>
    <row r="26" spans="1:11" x14ac:dyDescent="0.25">
      <c r="A26" t="str">
        <f>"ZD618992C3"</f>
        <v>ZD618992C3</v>
      </c>
      <c r="B26" t="str">
        <f t="shared" si="0"/>
        <v>06363391001</v>
      </c>
      <c r="C26" t="s">
        <v>15</v>
      </c>
      <c r="D26" t="s">
        <v>81</v>
      </c>
      <c r="E26" t="s">
        <v>17</v>
      </c>
      <c r="F26" s="1" t="s">
        <v>82</v>
      </c>
      <c r="G26" t="s">
        <v>83</v>
      </c>
      <c r="H26">
        <v>900</v>
      </c>
      <c r="I26" s="2">
        <v>42419</v>
      </c>
      <c r="J26" s="2">
        <v>43149</v>
      </c>
      <c r="K26">
        <v>721.32</v>
      </c>
    </row>
    <row r="27" spans="1:11" ht="90" x14ac:dyDescent="0.25">
      <c r="A27" t="str">
        <f>"XE718115B9"</f>
        <v>XE718115B9</v>
      </c>
      <c r="B27" t="str">
        <f t="shared" si="0"/>
        <v>06363391001</v>
      </c>
      <c r="C27" t="s">
        <v>15</v>
      </c>
      <c r="D27" t="s">
        <v>84</v>
      </c>
      <c r="E27" t="s">
        <v>17</v>
      </c>
      <c r="F27" s="1" t="s">
        <v>85</v>
      </c>
      <c r="G27" t="s">
        <v>86</v>
      </c>
      <c r="H27">
        <v>828</v>
      </c>
      <c r="I27" s="2">
        <v>42415</v>
      </c>
      <c r="J27" s="2">
        <v>42430</v>
      </c>
      <c r="K27">
        <v>828</v>
      </c>
    </row>
    <row r="28" spans="1:11" x14ac:dyDescent="0.25">
      <c r="A28" t="str">
        <f>"Z7618B0CD7"</f>
        <v>Z7618B0CD7</v>
      </c>
      <c r="B28" t="str">
        <f t="shared" si="0"/>
        <v>06363391001</v>
      </c>
      <c r="C28" t="s">
        <v>15</v>
      </c>
      <c r="D28" t="s">
        <v>87</v>
      </c>
      <c r="E28" t="s">
        <v>17</v>
      </c>
      <c r="F28" s="1" t="s">
        <v>88</v>
      </c>
      <c r="G28" t="s">
        <v>89</v>
      </c>
      <c r="H28">
        <v>5032.5</v>
      </c>
      <c r="I28" s="2">
        <v>42370</v>
      </c>
      <c r="J28" s="2">
        <v>42735</v>
      </c>
      <c r="K28">
        <v>5032.5</v>
      </c>
    </row>
    <row r="29" spans="1:11" x14ac:dyDescent="0.25">
      <c r="A29" t="str">
        <f>"66181351C6"</f>
        <v>66181351C6</v>
      </c>
      <c r="B29" t="str">
        <f t="shared" si="0"/>
        <v>06363391001</v>
      </c>
      <c r="C29" t="s">
        <v>15</v>
      </c>
      <c r="D29" t="s">
        <v>39</v>
      </c>
      <c r="E29" t="s">
        <v>40</v>
      </c>
      <c r="F29" s="1" t="s">
        <v>41</v>
      </c>
      <c r="G29" t="s">
        <v>42</v>
      </c>
      <c r="H29">
        <v>0</v>
      </c>
      <c r="I29" s="2">
        <v>42451</v>
      </c>
      <c r="J29" s="2">
        <v>42451</v>
      </c>
      <c r="K29">
        <v>4326.01</v>
      </c>
    </row>
    <row r="30" spans="1:11" x14ac:dyDescent="0.25">
      <c r="A30" t="str">
        <f>"Z7B18F0303"</f>
        <v>Z7B18F0303</v>
      </c>
      <c r="B30" t="str">
        <f t="shared" si="0"/>
        <v>06363391001</v>
      </c>
      <c r="C30" t="s">
        <v>15</v>
      </c>
      <c r="D30" t="s">
        <v>90</v>
      </c>
      <c r="E30" t="s">
        <v>17</v>
      </c>
      <c r="F30" s="1" t="s">
        <v>91</v>
      </c>
      <c r="G30" t="s">
        <v>92</v>
      </c>
      <c r="H30">
        <v>0</v>
      </c>
      <c r="I30" s="2">
        <v>42370</v>
      </c>
      <c r="J30" s="2">
        <v>43100</v>
      </c>
      <c r="K30">
        <v>0</v>
      </c>
    </row>
    <row r="31" spans="1:11" x14ac:dyDescent="0.25">
      <c r="A31" t="str">
        <f>"ZCA18F36B3"</f>
        <v>ZCA18F36B3</v>
      </c>
      <c r="B31" t="str">
        <f t="shared" si="0"/>
        <v>06363391001</v>
      </c>
      <c r="C31" t="s">
        <v>15</v>
      </c>
      <c r="D31" t="s">
        <v>93</v>
      </c>
      <c r="E31" t="s">
        <v>17</v>
      </c>
      <c r="F31" s="1" t="s">
        <v>94</v>
      </c>
      <c r="G31" t="s">
        <v>95</v>
      </c>
      <c r="H31">
        <v>828</v>
      </c>
      <c r="I31" s="2">
        <v>42446</v>
      </c>
      <c r="J31" s="2">
        <v>42446</v>
      </c>
      <c r="K31">
        <v>828</v>
      </c>
    </row>
    <row r="32" spans="1:11" x14ac:dyDescent="0.25">
      <c r="A32" t="str">
        <f>"ZEB18B2488"</f>
        <v>ZEB18B2488</v>
      </c>
      <c r="B32" t="str">
        <f t="shared" si="0"/>
        <v>06363391001</v>
      </c>
      <c r="C32" t="s">
        <v>15</v>
      </c>
      <c r="D32" t="s">
        <v>96</v>
      </c>
      <c r="E32" t="s">
        <v>30</v>
      </c>
      <c r="F32" s="1" t="s">
        <v>97</v>
      </c>
      <c r="G32" t="s">
        <v>63</v>
      </c>
      <c r="H32">
        <v>2330</v>
      </c>
      <c r="I32" s="2">
        <v>42440</v>
      </c>
      <c r="J32" s="2">
        <v>42460</v>
      </c>
      <c r="K32">
        <v>2330</v>
      </c>
    </row>
    <row r="33" spans="1:11" ht="390" x14ac:dyDescent="0.25">
      <c r="A33" t="str">
        <f>"6578448306"</f>
        <v>6578448306</v>
      </c>
      <c r="B33" t="str">
        <f t="shared" si="0"/>
        <v>06363391001</v>
      </c>
      <c r="C33" t="s">
        <v>15</v>
      </c>
      <c r="D33" t="s">
        <v>98</v>
      </c>
      <c r="E33" t="s">
        <v>30</v>
      </c>
      <c r="F33" s="1" t="s">
        <v>99</v>
      </c>
      <c r="G33" t="s">
        <v>100</v>
      </c>
      <c r="H33">
        <v>76541.84</v>
      </c>
      <c r="I33" s="2">
        <v>42437</v>
      </c>
      <c r="J33" s="2">
        <v>42801</v>
      </c>
      <c r="K33">
        <v>51376.9</v>
      </c>
    </row>
    <row r="34" spans="1:11" ht="390" x14ac:dyDescent="0.25">
      <c r="A34" t="str">
        <f>"6578560F6F"</f>
        <v>6578560F6F</v>
      </c>
      <c r="B34" t="str">
        <f t="shared" si="0"/>
        <v>06363391001</v>
      </c>
      <c r="C34" t="s">
        <v>15</v>
      </c>
      <c r="D34" t="s">
        <v>101</v>
      </c>
      <c r="E34" t="s">
        <v>30</v>
      </c>
      <c r="F34" s="1" t="s">
        <v>99</v>
      </c>
      <c r="G34" t="s">
        <v>102</v>
      </c>
      <c r="H34">
        <v>28458.16</v>
      </c>
      <c r="I34" s="2">
        <v>42437</v>
      </c>
      <c r="J34" s="2">
        <v>42801</v>
      </c>
      <c r="K34">
        <v>20405.740000000002</v>
      </c>
    </row>
    <row r="35" spans="1:11" ht="105" x14ac:dyDescent="0.25">
      <c r="A35" t="str">
        <f>"ZAB18BBCE7"</f>
        <v>ZAB18BBCE7</v>
      </c>
      <c r="B35" t="str">
        <f t="shared" si="0"/>
        <v>06363391001</v>
      </c>
      <c r="C35" t="s">
        <v>15</v>
      </c>
      <c r="D35" t="s">
        <v>103</v>
      </c>
      <c r="E35" t="s">
        <v>17</v>
      </c>
      <c r="F35" s="1" t="s">
        <v>104</v>
      </c>
      <c r="G35" t="s">
        <v>105</v>
      </c>
      <c r="H35">
        <v>65.56</v>
      </c>
      <c r="I35" s="2">
        <v>42426</v>
      </c>
      <c r="J35" s="2">
        <v>42430</v>
      </c>
      <c r="K35">
        <v>65.56</v>
      </c>
    </row>
    <row r="36" spans="1:11" ht="75" x14ac:dyDescent="0.25">
      <c r="A36" t="str">
        <f>"Z421903E11"</f>
        <v>Z421903E11</v>
      </c>
      <c r="B36" t="str">
        <f t="shared" si="0"/>
        <v>06363391001</v>
      </c>
      <c r="C36" t="s">
        <v>15</v>
      </c>
      <c r="D36" t="s">
        <v>106</v>
      </c>
      <c r="E36" t="s">
        <v>17</v>
      </c>
      <c r="F36" s="1" t="s">
        <v>107</v>
      </c>
      <c r="G36" t="s">
        <v>108</v>
      </c>
      <c r="H36">
        <v>265</v>
      </c>
      <c r="I36" s="2">
        <v>42445</v>
      </c>
      <c r="J36" s="2">
        <v>42460</v>
      </c>
      <c r="K36">
        <v>265</v>
      </c>
    </row>
    <row r="37" spans="1:11" ht="105" x14ac:dyDescent="0.25">
      <c r="A37" t="str">
        <f>"Z3418C33D2"</f>
        <v>Z3418C33D2</v>
      </c>
      <c r="B37" t="str">
        <f t="shared" si="0"/>
        <v>06363391001</v>
      </c>
      <c r="C37" t="s">
        <v>15</v>
      </c>
      <c r="D37" t="s">
        <v>109</v>
      </c>
      <c r="E37" t="s">
        <v>17</v>
      </c>
      <c r="F37" s="1" t="s">
        <v>110</v>
      </c>
      <c r="G37" t="s">
        <v>111</v>
      </c>
      <c r="H37">
        <v>7000</v>
      </c>
      <c r="I37" s="2">
        <v>42432</v>
      </c>
      <c r="J37" s="2">
        <v>42735</v>
      </c>
      <c r="K37">
        <v>7000</v>
      </c>
    </row>
    <row r="38" spans="1:11" ht="105" x14ac:dyDescent="0.25">
      <c r="A38" t="str">
        <f>"X84171FE77"</f>
        <v>X84171FE77</v>
      </c>
      <c r="B38" t="str">
        <f t="shared" si="0"/>
        <v>06363391001</v>
      </c>
      <c r="C38" t="s">
        <v>15</v>
      </c>
      <c r="D38" t="s">
        <v>112</v>
      </c>
      <c r="E38" t="s">
        <v>17</v>
      </c>
      <c r="F38" s="1" t="s">
        <v>113</v>
      </c>
      <c r="G38" t="s">
        <v>114</v>
      </c>
      <c r="H38">
        <v>1153.8499999999999</v>
      </c>
      <c r="I38" s="2">
        <v>42370</v>
      </c>
      <c r="J38" s="2">
        <v>42735</v>
      </c>
      <c r="K38">
        <v>1153.8499999999999</v>
      </c>
    </row>
    <row r="39" spans="1:11" ht="75" x14ac:dyDescent="0.25">
      <c r="A39" t="str">
        <f>"ZD61905F18"</f>
        <v>ZD61905F18</v>
      </c>
      <c r="B39" t="str">
        <f t="shared" si="0"/>
        <v>06363391001</v>
      </c>
      <c r="C39" t="s">
        <v>15</v>
      </c>
      <c r="D39" t="s">
        <v>115</v>
      </c>
      <c r="E39" t="s">
        <v>17</v>
      </c>
      <c r="F39" s="1" t="s">
        <v>116</v>
      </c>
      <c r="G39" t="s">
        <v>117</v>
      </c>
      <c r="H39">
        <v>250</v>
      </c>
      <c r="I39" s="2">
        <v>42445</v>
      </c>
      <c r="J39" s="2">
        <v>42460</v>
      </c>
      <c r="K39">
        <v>250</v>
      </c>
    </row>
    <row r="40" spans="1:11" ht="135" x14ac:dyDescent="0.25">
      <c r="A40" t="str">
        <f>"Z9018FB82D"</f>
        <v>Z9018FB82D</v>
      </c>
      <c r="B40" t="str">
        <f t="shared" si="0"/>
        <v>06363391001</v>
      </c>
      <c r="C40" t="s">
        <v>15</v>
      </c>
      <c r="D40" t="s">
        <v>118</v>
      </c>
      <c r="E40" t="s">
        <v>17</v>
      </c>
      <c r="F40" s="1" t="s">
        <v>119</v>
      </c>
      <c r="G40" t="s">
        <v>120</v>
      </c>
      <c r="H40">
        <v>840</v>
      </c>
      <c r="I40" s="2">
        <v>42444</v>
      </c>
      <c r="J40" s="2">
        <v>42452</v>
      </c>
      <c r="K40">
        <v>450</v>
      </c>
    </row>
    <row r="41" spans="1:11" ht="90" x14ac:dyDescent="0.25">
      <c r="A41" t="str">
        <f>"XB418115B4"</f>
        <v>XB418115B4</v>
      </c>
      <c r="B41" t="str">
        <f t="shared" si="0"/>
        <v>06363391001</v>
      </c>
      <c r="C41" t="s">
        <v>15</v>
      </c>
      <c r="D41" t="s">
        <v>121</v>
      </c>
      <c r="E41" t="s">
        <v>17</v>
      </c>
      <c r="F41" s="1" t="s">
        <v>122</v>
      </c>
      <c r="G41" t="s">
        <v>123</v>
      </c>
      <c r="H41">
        <v>1287.08</v>
      </c>
      <c r="I41" s="2">
        <v>42410</v>
      </c>
      <c r="J41" s="2">
        <v>42410</v>
      </c>
      <c r="K41">
        <v>1287.08</v>
      </c>
    </row>
    <row r="42" spans="1:11" ht="90" x14ac:dyDescent="0.25">
      <c r="A42" t="str">
        <f>"Z8C190CE88"</f>
        <v>Z8C190CE88</v>
      </c>
      <c r="B42" t="str">
        <f t="shared" si="0"/>
        <v>06363391001</v>
      </c>
      <c r="C42" t="s">
        <v>15</v>
      </c>
      <c r="D42" t="s">
        <v>124</v>
      </c>
      <c r="E42" t="s">
        <v>17</v>
      </c>
      <c r="F42" s="1" t="s">
        <v>125</v>
      </c>
      <c r="G42" t="s">
        <v>126</v>
      </c>
      <c r="H42">
        <v>2293.5</v>
      </c>
      <c r="I42" s="2">
        <v>42450</v>
      </c>
      <c r="J42" s="2">
        <v>42735</v>
      </c>
      <c r="K42">
        <v>2293.5</v>
      </c>
    </row>
    <row r="43" spans="1:11" ht="120" x14ac:dyDescent="0.25">
      <c r="A43" t="str">
        <f>"Z7C190F752"</f>
        <v>Z7C190F752</v>
      </c>
      <c r="B43" t="str">
        <f t="shared" si="0"/>
        <v>06363391001</v>
      </c>
      <c r="C43" t="s">
        <v>15</v>
      </c>
      <c r="D43" t="s">
        <v>127</v>
      </c>
      <c r="E43" t="s">
        <v>17</v>
      </c>
      <c r="F43" s="1" t="s">
        <v>88</v>
      </c>
      <c r="G43" t="s">
        <v>89</v>
      </c>
      <c r="H43">
        <v>45</v>
      </c>
      <c r="I43" s="2">
        <v>42451</v>
      </c>
      <c r="J43" s="2">
        <v>42482</v>
      </c>
      <c r="K43">
        <v>45</v>
      </c>
    </row>
    <row r="44" spans="1:11" ht="105" x14ac:dyDescent="0.25">
      <c r="A44" t="str">
        <f>"X4E18115AA"</f>
        <v>X4E18115AA</v>
      </c>
      <c r="B44" t="str">
        <f t="shared" si="0"/>
        <v>06363391001</v>
      </c>
      <c r="C44" t="s">
        <v>15</v>
      </c>
      <c r="D44" t="s">
        <v>128</v>
      </c>
      <c r="E44" t="s">
        <v>17</v>
      </c>
      <c r="F44" s="1" t="s">
        <v>129</v>
      </c>
      <c r="G44" t="s">
        <v>130</v>
      </c>
      <c r="H44">
        <v>380</v>
      </c>
      <c r="I44" s="2">
        <v>42408</v>
      </c>
      <c r="J44" s="2">
        <v>42430</v>
      </c>
      <c r="K44">
        <v>380</v>
      </c>
    </row>
    <row r="45" spans="1:11" ht="90" x14ac:dyDescent="0.25">
      <c r="A45" t="str">
        <f>"6637732DB7"</f>
        <v>6637732DB7</v>
      </c>
      <c r="B45" t="str">
        <f t="shared" si="0"/>
        <v>06363391001</v>
      </c>
      <c r="C45" t="s">
        <v>15</v>
      </c>
      <c r="D45" t="s">
        <v>131</v>
      </c>
      <c r="E45" t="s">
        <v>40</v>
      </c>
      <c r="F45" s="1" t="s">
        <v>132</v>
      </c>
      <c r="G45" t="s">
        <v>133</v>
      </c>
      <c r="H45">
        <v>2506.5</v>
      </c>
      <c r="I45" s="2">
        <v>42452</v>
      </c>
      <c r="J45" s="2">
        <v>42486</v>
      </c>
      <c r="K45">
        <v>2506.5</v>
      </c>
    </row>
    <row r="46" spans="1:11" ht="135" x14ac:dyDescent="0.25">
      <c r="A46" t="str">
        <f>"6637730C11"</f>
        <v>6637730C11</v>
      </c>
      <c r="B46" t="str">
        <f t="shared" si="0"/>
        <v>06363391001</v>
      </c>
      <c r="C46" t="s">
        <v>15</v>
      </c>
      <c r="D46" t="s">
        <v>134</v>
      </c>
      <c r="E46" t="s">
        <v>40</v>
      </c>
      <c r="F46" s="1" t="s">
        <v>135</v>
      </c>
      <c r="G46" t="s">
        <v>136</v>
      </c>
      <c r="H46">
        <v>3315</v>
      </c>
      <c r="I46" s="2">
        <v>42452</v>
      </c>
      <c r="J46" s="2">
        <v>42488</v>
      </c>
      <c r="K46">
        <v>3315</v>
      </c>
    </row>
    <row r="47" spans="1:11" ht="75" x14ac:dyDescent="0.25">
      <c r="A47" t="str">
        <f>"Z121913CCC"</f>
        <v>Z121913CCC</v>
      </c>
      <c r="B47" t="str">
        <f t="shared" si="0"/>
        <v>06363391001</v>
      </c>
      <c r="C47" t="s">
        <v>15</v>
      </c>
      <c r="D47" t="s">
        <v>137</v>
      </c>
      <c r="E47" t="s">
        <v>17</v>
      </c>
      <c r="F47" s="1" t="s">
        <v>138</v>
      </c>
      <c r="G47" t="s">
        <v>139</v>
      </c>
      <c r="H47">
        <v>475</v>
      </c>
      <c r="I47" s="2">
        <v>42451</v>
      </c>
      <c r="J47" s="2">
        <v>42451</v>
      </c>
      <c r="K47">
        <v>475</v>
      </c>
    </row>
    <row r="48" spans="1:11" ht="135" x14ac:dyDescent="0.25">
      <c r="A48" t="str">
        <f>"65485377AE"</f>
        <v>65485377AE</v>
      </c>
      <c r="B48" t="str">
        <f t="shared" si="0"/>
        <v>06363391001</v>
      </c>
      <c r="C48" t="s">
        <v>15</v>
      </c>
      <c r="D48" t="s">
        <v>140</v>
      </c>
      <c r="E48" t="s">
        <v>74</v>
      </c>
      <c r="F48" s="1" t="s">
        <v>141</v>
      </c>
      <c r="G48" t="s">
        <v>142</v>
      </c>
      <c r="H48">
        <v>260000</v>
      </c>
      <c r="I48" s="2">
        <v>42320</v>
      </c>
      <c r="J48" s="2">
        <v>42685</v>
      </c>
      <c r="K48">
        <v>260000</v>
      </c>
    </row>
    <row r="49" spans="1:11" ht="90" x14ac:dyDescent="0.25">
      <c r="A49" t="str">
        <f>"Z37191877B"</f>
        <v>Z37191877B</v>
      </c>
      <c r="B49" t="str">
        <f t="shared" si="0"/>
        <v>06363391001</v>
      </c>
      <c r="C49" t="s">
        <v>15</v>
      </c>
      <c r="D49" t="s">
        <v>143</v>
      </c>
      <c r="E49" t="s">
        <v>17</v>
      </c>
      <c r="F49" s="1" t="s">
        <v>144</v>
      </c>
      <c r="G49" t="s">
        <v>145</v>
      </c>
      <c r="H49">
        <v>18300</v>
      </c>
      <c r="I49" s="2">
        <v>42454</v>
      </c>
      <c r="J49" s="2">
        <v>42490</v>
      </c>
      <c r="K49">
        <v>18300</v>
      </c>
    </row>
    <row r="50" spans="1:11" ht="90" x14ac:dyDescent="0.25">
      <c r="A50" t="str">
        <f>"Z9318CFCEE"</f>
        <v>Z9318CFCEE</v>
      </c>
      <c r="B50" t="str">
        <f t="shared" si="0"/>
        <v>06363391001</v>
      </c>
      <c r="C50" t="s">
        <v>15</v>
      </c>
      <c r="D50" t="s">
        <v>146</v>
      </c>
      <c r="E50" t="s">
        <v>17</v>
      </c>
      <c r="F50" s="1" t="s">
        <v>147</v>
      </c>
      <c r="G50" t="s">
        <v>148</v>
      </c>
      <c r="H50">
        <v>1000</v>
      </c>
      <c r="I50" s="2">
        <v>42436</v>
      </c>
      <c r="J50" s="2">
        <v>42460</v>
      </c>
      <c r="K50">
        <v>1000</v>
      </c>
    </row>
    <row r="51" spans="1:11" ht="409.5" x14ac:dyDescent="0.25">
      <c r="A51" t="str">
        <f>"ZF418A823D"</f>
        <v>ZF418A823D</v>
      </c>
      <c r="B51" t="str">
        <f t="shared" si="0"/>
        <v>06363391001</v>
      </c>
      <c r="C51" t="s">
        <v>15</v>
      </c>
      <c r="D51" t="s">
        <v>149</v>
      </c>
      <c r="E51" t="s">
        <v>30</v>
      </c>
      <c r="F51" s="1" t="s">
        <v>150</v>
      </c>
      <c r="G51" t="s">
        <v>151</v>
      </c>
      <c r="H51">
        <v>1838.95</v>
      </c>
      <c r="I51" s="2">
        <v>42453</v>
      </c>
      <c r="J51" s="2">
        <v>42453</v>
      </c>
      <c r="K51">
        <v>1838.94</v>
      </c>
    </row>
    <row r="52" spans="1:11" ht="405" x14ac:dyDescent="0.25">
      <c r="A52" t="str">
        <f>"ZDE18AAF4B"</f>
        <v>ZDE18AAF4B</v>
      </c>
      <c r="B52" t="str">
        <f t="shared" si="0"/>
        <v>06363391001</v>
      </c>
      <c r="C52" t="s">
        <v>15</v>
      </c>
      <c r="D52" t="s">
        <v>152</v>
      </c>
      <c r="E52" t="s">
        <v>30</v>
      </c>
      <c r="F52" s="1" t="s">
        <v>153</v>
      </c>
      <c r="G52" t="s">
        <v>154</v>
      </c>
      <c r="H52">
        <v>8125</v>
      </c>
      <c r="I52" s="2">
        <v>42453</v>
      </c>
      <c r="J52" s="2">
        <v>43182</v>
      </c>
      <c r="K52">
        <v>8125</v>
      </c>
    </row>
    <row r="53" spans="1:11" ht="210" x14ac:dyDescent="0.25">
      <c r="A53" t="str">
        <f>"X5C171FE78"</f>
        <v>X5C171FE78</v>
      </c>
      <c r="B53" t="str">
        <f t="shared" si="0"/>
        <v>06363391001</v>
      </c>
      <c r="C53" t="s">
        <v>15</v>
      </c>
      <c r="D53" t="s">
        <v>155</v>
      </c>
      <c r="E53" t="s">
        <v>17</v>
      </c>
      <c r="F53" s="1" t="s">
        <v>156</v>
      </c>
      <c r="G53" t="s">
        <v>157</v>
      </c>
      <c r="H53">
        <v>20920</v>
      </c>
      <c r="I53" s="2">
        <v>42439</v>
      </c>
      <c r="J53" s="2">
        <v>42735</v>
      </c>
      <c r="K53">
        <v>20920</v>
      </c>
    </row>
    <row r="54" spans="1:11" ht="135" x14ac:dyDescent="0.25">
      <c r="A54" t="str">
        <f>"ZB818EC7F5"</f>
        <v>ZB818EC7F5</v>
      </c>
      <c r="B54" t="str">
        <f t="shared" si="0"/>
        <v>06363391001</v>
      </c>
      <c r="C54" t="s">
        <v>15</v>
      </c>
      <c r="D54" t="s">
        <v>158</v>
      </c>
      <c r="E54" t="s">
        <v>17</v>
      </c>
      <c r="F54" s="1" t="s">
        <v>159</v>
      </c>
      <c r="G54" t="s">
        <v>160</v>
      </c>
      <c r="H54">
        <v>99.5</v>
      </c>
      <c r="I54" s="2">
        <v>42439</v>
      </c>
      <c r="J54" s="2">
        <v>42735</v>
      </c>
      <c r="K54">
        <v>90.5</v>
      </c>
    </row>
    <row r="55" spans="1:11" ht="105" x14ac:dyDescent="0.25">
      <c r="A55" t="str">
        <f>"X9318115A2"</f>
        <v>X9318115A2</v>
      </c>
      <c r="B55" t="str">
        <f t="shared" si="0"/>
        <v>06363391001</v>
      </c>
      <c r="C55" t="s">
        <v>15</v>
      </c>
      <c r="D55" t="s">
        <v>161</v>
      </c>
      <c r="E55" t="s">
        <v>17</v>
      </c>
      <c r="F55" s="1" t="s">
        <v>113</v>
      </c>
      <c r="G55" t="s">
        <v>114</v>
      </c>
      <c r="H55">
        <v>1426.5</v>
      </c>
      <c r="I55" s="2">
        <v>42370</v>
      </c>
      <c r="J55" s="2">
        <v>42766</v>
      </c>
      <c r="K55">
        <v>1426.5</v>
      </c>
    </row>
    <row r="56" spans="1:11" ht="90" x14ac:dyDescent="0.25">
      <c r="A56" t="str">
        <f>"Z101954E7F"</f>
        <v>Z101954E7F</v>
      </c>
      <c r="B56" t="str">
        <f t="shared" si="0"/>
        <v>06363391001</v>
      </c>
      <c r="C56" t="s">
        <v>15</v>
      </c>
      <c r="D56" t="s">
        <v>162</v>
      </c>
      <c r="E56" t="s">
        <v>17</v>
      </c>
      <c r="F56" s="1" t="s">
        <v>163</v>
      </c>
      <c r="G56" t="s">
        <v>164</v>
      </c>
      <c r="H56">
        <v>611</v>
      </c>
      <c r="I56" s="2">
        <v>42468</v>
      </c>
      <c r="J56" s="2">
        <v>42485</v>
      </c>
      <c r="K56">
        <v>611</v>
      </c>
    </row>
    <row r="57" spans="1:11" ht="409.5" x14ac:dyDescent="0.25">
      <c r="A57" t="str">
        <f>"Z34190B3DF"</f>
        <v>Z34190B3DF</v>
      </c>
      <c r="B57" t="str">
        <f t="shared" si="0"/>
        <v>06363391001</v>
      </c>
      <c r="C57" t="s">
        <v>15</v>
      </c>
      <c r="D57" t="s">
        <v>165</v>
      </c>
      <c r="E57" t="s">
        <v>30</v>
      </c>
      <c r="F57" s="1" t="s">
        <v>166</v>
      </c>
      <c r="G57" t="s">
        <v>167</v>
      </c>
      <c r="H57">
        <v>7646</v>
      </c>
      <c r="I57" s="2">
        <v>42474</v>
      </c>
      <c r="J57" s="2">
        <v>42475</v>
      </c>
      <c r="K57">
        <v>7280</v>
      </c>
    </row>
    <row r="58" spans="1:11" ht="409.5" x14ac:dyDescent="0.25">
      <c r="A58" t="str">
        <f>"6605526C7C"</f>
        <v>6605526C7C</v>
      </c>
      <c r="B58" t="str">
        <f t="shared" si="0"/>
        <v>06363391001</v>
      </c>
      <c r="C58" t="s">
        <v>15</v>
      </c>
      <c r="D58" t="s">
        <v>168</v>
      </c>
      <c r="E58" t="s">
        <v>30</v>
      </c>
      <c r="F58" s="1" t="s">
        <v>169</v>
      </c>
      <c r="G58" t="s">
        <v>170</v>
      </c>
      <c r="H58">
        <v>34300</v>
      </c>
      <c r="I58" s="2">
        <v>42474</v>
      </c>
      <c r="J58" s="2">
        <v>42495</v>
      </c>
      <c r="K58">
        <v>0</v>
      </c>
    </row>
    <row r="59" spans="1:11" ht="409.5" x14ac:dyDescent="0.25">
      <c r="A59" t="str">
        <f>"Z6018CF220"</f>
        <v>Z6018CF220</v>
      </c>
      <c r="B59" t="str">
        <f t="shared" si="0"/>
        <v>06363391001</v>
      </c>
      <c r="C59" t="s">
        <v>15</v>
      </c>
      <c r="D59" t="s">
        <v>171</v>
      </c>
      <c r="E59" t="s">
        <v>30</v>
      </c>
      <c r="F59" s="1" t="s">
        <v>172</v>
      </c>
      <c r="G59" t="s">
        <v>173</v>
      </c>
      <c r="H59">
        <v>17368.560000000001</v>
      </c>
      <c r="I59" s="2">
        <v>42474</v>
      </c>
      <c r="J59" s="2">
        <v>42674</v>
      </c>
      <c r="K59">
        <v>17334.419999999998</v>
      </c>
    </row>
    <row r="60" spans="1:11" ht="405" x14ac:dyDescent="0.25">
      <c r="A60" t="str">
        <f>"ZEB18FC8DC"</f>
        <v>ZEB18FC8DC</v>
      </c>
      <c r="B60" t="str">
        <f t="shared" si="0"/>
        <v>06363391001</v>
      </c>
      <c r="C60" t="s">
        <v>15</v>
      </c>
      <c r="D60" t="s">
        <v>174</v>
      </c>
      <c r="E60" t="s">
        <v>30</v>
      </c>
      <c r="F60" s="1" t="s">
        <v>175</v>
      </c>
      <c r="G60" t="s">
        <v>164</v>
      </c>
      <c r="H60">
        <v>13301.49</v>
      </c>
      <c r="I60" s="2">
        <v>42474</v>
      </c>
      <c r="J60" s="2">
        <v>42674</v>
      </c>
      <c r="K60">
        <v>13297.91</v>
      </c>
    </row>
    <row r="61" spans="1:11" ht="90" x14ac:dyDescent="0.25">
      <c r="A61" t="str">
        <f>"ZE01934124"</f>
        <v>ZE01934124</v>
      </c>
      <c r="B61" t="str">
        <f t="shared" si="0"/>
        <v>06363391001</v>
      </c>
      <c r="C61" t="s">
        <v>15</v>
      </c>
      <c r="D61" t="s">
        <v>176</v>
      </c>
      <c r="E61" t="s">
        <v>17</v>
      </c>
      <c r="F61" s="1" t="s">
        <v>177</v>
      </c>
      <c r="G61" t="s">
        <v>178</v>
      </c>
      <c r="H61">
        <v>21600</v>
      </c>
      <c r="I61" s="2">
        <v>42461</v>
      </c>
      <c r="J61" s="2">
        <v>43555</v>
      </c>
      <c r="K61">
        <v>18000</v>
      </c>
    </row>
    <row r="62" spans="1:11" ht="409.5" x14ac:dyDescent="0.25">
      <c r="A62" t="str">
        <f>"Z2E19680A5"</f>
        <v>Z2E19680A5</v>
      </c>
      <c r="B62" t="str">
        <f t="shared" si="0"/>
        <v>06363391001</v>
      </c>
      <c r="C62" t="s">
        <v>15</v>
      </c>
      <c r="D62" t="s">
        <v>179</v>
      </c>
      <c r="E62" t="s">
        <v>17</v>
      </c>
      <c r="F62" s="1" t="s">
        <v>180</v>
      </c>
      <c r="G62" t="s">
        <v>181</v>
      </c>
      <c r="H62">
        <v>2915</v>
      </c>
      <c r="I62" s="2">
        <v>42473</v>
      </c>
      <c r="J62" s="2">
        <v>42489</v>
      </c>
      <c r="K62">
        <v>2915</v>
      </c>
    </row>
    <row r="63" spans="1:11" ht="120" x14ac:dyDescent="0.25">
      <c r="A63" t="str">
        <f>"Z02197498C"</f>
        <v>Z02197498C</v>
      </c>
      <c r="B63" t="str">
        <f t="shared" si="0"/>
        <v>06363391001</v>
      </c>
      <c r="C63" t="s">
        <v>15</v>
      </c>
      <c r="D63" t="s">
        <v>182</v>
      </c>
      <c r="E63" t="s">
        <v>17</v>
      </c>
      <c r="F63" s="1" t="s">
        <v>183</v>
      </c>
      <c r="G63" t="s">
        <v>184</v>
      </c>
      <c r="H63">
        <v>1800</v>
      </c>
      <c r="I63" s="2">
        <v>42491</v>
      </c>
      <c r="J63" s="2">
        <v>42735</v>
      </c>
      <c r="K63">
        <v>1800</v>
      </c>
    </row>
    <row r="64" spans="1:11" ht="90" x14ac:dyDescent="0.25">
      <c r="A64" t="str">
        <f>"6499448A27"</f>
        <v>6499448A27</v>
      </c>
      <c r="B64" t="str">
        <f t="shared" si="0"/>
        <v>06363391001</v>
      </c>
      <c r="C64" t="s">
        <v>15</v>
      </c>
      <c r="D64" t="s">
        <v>185</v>
      </c>
      <c r="E64" t="s">
        <v>186</v>
      </c>
      <c r="F64" s="1" t="s">
        <v>187</v>
      </c>
      <c r="G64" t="s">
        <v>188</v>
      </c>
      <c r="H64">
        <v>1550000</v>
      </c>
      <c r="I64" s="2">
        <v>42419</v>
      </c>
      <c r="J64" s="2">
        <v>42480</v>
      </c>
      <c r="K64">
        <v>1342472.32</v>
      </c>
    </row>
    <row r="65" spans="1:11" ht="90" x14ac:dyDescent="0.25">
      <c r="A65" t="str">
        <f>"6627814522"</f>
        <v>6627814522</v>
      </c>
      <c r="B65" t="str">
        <f t="shared" si="0"/>
        <v>06363391001</v>
      </c>
      <c r="C65" t="s">
        <v>15</v>
      </c>
      <c r="D65" t="s">
        <v>189</v>
      </c>
      <c r="E65" t="s">
        <v>30</v>
      </c>
      <c r="F65" s="1" t="s">
        <v>190</v>
      </c>
      <c r="G65" t="s">
        <v>191</v>
      </c>
      <c r="H65">
        <v>160000</v>
      </c>
      <c r="I65" s="2">
        <v>42370</v>
      </c>
      <c r="J65" s="2">
        <v>43100</v>
      </c>
      <c r="K65">
        <v>134583.34</v>
      </c>
    </row>
    <row r="66" spans="1:11" ht="90" x14ac:dyDescent="0.25">
      <c r="A66" t="str">
        <f>"66182153CA"</f>
        <v>66182153CA</v>
      </c>
      <c r="B66" t="str">
        <f t="shared" si="0"/>
        <v>06363391001</v>
      </c>
      <c r="C66" t="s">
        <v>15</v>
      </c>
      <c r="D66" t="s">
        <v>192</v>
      </c>
      <c r="E66" t="s">
        <v>40</v>
      </c>
      <c r="F66" s="1" t="s">
        <v>193</v>
      </c>
      <c r="G66" t="s">
        <v>194</v>
      </c>
      <c r="H66">
        <v>51590.2</v>
      </c>
      <c r="I66" s="2">
        <v>42444</v>
      </c>
      <c r="J66" s="2">
        <v>42480</v>
      </c>
      <c r="K66">
        <v>51590.19</v>
      </c>
    </row>
    <row r="67" spans="1:11" ht="105" x14ac:dyDescent="0.25">
      <c r="A67" t="str">
        <f>"ZD918D4D91"</f>
        <v>ZD918D4D91</v>
      </c>
      <c r="B67" t="str">
        <f t="shared" ref="B67:B130" si="1">"06363391001"</f>
        <v>06363391001</v>
      </c>
      <c r="C67" t="s">
        <v>15</v>
      </c>
      <c r="D67" t="s">
        <v>195</v>
      </c>
      <c r="E67" t="s">
        <v>17</v>
      </c>
      <c r="F67" s="1" t="s">
        <v>27</v>
      </c>
      <c r="G67" t="s">
        <v>28</v>
      </c>
      <c r="H67">
        <v>1744</v>
      </c>
      <c r="I67" s="2">
        <v>42436</v>
      </c>
      <c r="J67" s="2">
        <v>42453</v>
      </c>
      <c r="K67">
        <v>1744</v>
      </c>
    </row>
    <row r="68" spans="1:11" ht="390" x14ac:dyDescent="0.25">
      <c r="A68" t="str">
        <f>"6276402AC5"</f>
        <v>6276402AC5</v>
      </c>
      <c r="B68" t="str">
        <f t="shared" si="1"/>
        <v>06363391001</v>
      </c>
      <c r="C68" t="s">
        <v>15</v>
      </c>
      <c r="D68" t="s">
        <v>196</v>
      </c>
      <c r="E68" t="s">
        <v>197</v>
      </c>
      <c r="F68" s="1" t="s">
        <v>198</v>
      </c>
      <c r="G68" t="s">
        <v>199</v>
      </c>
      <c r="H68">
        <v>200000</v>
      </c>
      <c r="I68" s="2">
        <v>42461</v>
      </c>
      <c r="J68" s="2">
        <v>43555</v>
      </c>
      <c r="K68">
        <v>0</v>
      </c>
    </row>
    <row r="69" spans="1:11" ht="90" x14ac:dyDescent="0.25">
      <c r="A69" t="str">
        <f>"6639970495"</f>
        <v>6639970495</v>
      </c>
      <c r="B69" t="str">
        <f t="shared" si="1"/>
        <v>06363391001</v>
      </c>
      <c r="C69" t="s">
        <v>15</v>
      </c>
      <c r="D69" t="s">
        <v>200</v>
      </c>
      <c r="E69" t="s">
        <v>40</v>
      </c>
      <c r="F69" s="1" t="s">
        <v>201</v>
      </c>
      <c r="G69" t="s">
        <v>199</v>
      </c>
      <c r="H69">
        <v>66666.66</v>
      </c>
      <c r="I69" s="2">
        <v>42454</v>
      </c>
      <c r="J69" s="2">
        <v>43548</v>
      </c>
      <c r="K69">
        <v>20949.84</v>
      </c>
    </row>
    <row r="70" spans="1:11" ht="165" x14ac:dyDescent="0.25">
      <c r="A70" t="str">
        <f>"6672809030"</f>
        <v>6672809030</v>
      </c>
      <c r="B70" t="str">
        <f t="shared" si="1"/>
        <v>06363391001</v>
      </c>
      <c r="C70" t="s">
        <v>15</v>
      </c>
      <c r="D70" t="s">
        <v>202</v>
      </c>
      <c r="E70" t="s">
        <v>17</v>
      </c>
      <c r="F70" s="1" t="s">
        <v>203</v>
      </c>
      <c r="G70" t="s">
        <v>204</v>
      </c>
      <c r="H70">
        <v>0</v>
      </c>
      <c r="I70" s="2">
        <v>42460</v>
      </c>
      <c r="J70" s="2">
        <v>43100</v>
      </c>
      <c r="K70">
        <v>5338.17</v>
      </c>
    </row>
    <row r="71" spans="1:11" ht="409.5" x14ac:dyDescent="0.25">
      <c r="A71" t="str">
        <f>"5866085E77"</f>
        <v>5866085E77</v>
      </c>
      <c r="B71" t="str">
        <f t="shared" si="1"/>
        <v>06363391001</v>
      </c>
      <c r="C71" t="s">
        <v>15</v>
      </c>
      <c r="D71" t="s">
        <v>205</v>
      </c>
      <c r="E71" t="s">
        <v>186</v>
      </c>
      <c r="F71" s="1" t="s">
        <v>206</v>
      </c>
      <c r="G71" s="1" t="s">
        <v>207</v>
      </c>
      <c r="H71">
        <v>5390032.71</v>
      </c>
      <c r="I71" s="2">
        <v>42391</v>
      </c>
      <c r="J71" s="2">
        <v>43852</v>
      </c>
      <c r="K71">
        <v>2352306.0699999998</v>
      </c>
    </row>
    <row r="72" spans="1:11" ht="90" x14ac:dyDescent="0.25">
      <c r="A72" t="str">
        <f>"Z0419B9E04"</f>
        <v>Z0419B9E04</v>
      </c>
      <c r="B72" t="str">
        <f t="shared" si="1"/>
        <v>06363391001</v>
      </c>
      <c r="C72" t="s">
        <v>15</v>
      </c>
      <c r="D72" t="s">
        <v>208</v>
      </c>
      <c r="E72" t="s">
        <v>17</v>
      </c>
      <c r="F72" s="1" t="s">
        <v>209</v>
      </c>
      <c r="G72" t="s">
        <v>210</v>
      </c>
      <c r="H72">
        <v>80</v>
      </c>
      <c r="I72" s="2">
        <v>42370</v>
      </c>
      <c r="J72" s="2">
        <v>42735</v>
      </c>
      <c r="K72">
        <v>0</v>
      </c>
    </row>
    <row r="73" spans="1:11" ht="135" x14ac:dyDescent="0.25">
      <c r="A73" t="str">
        <f>"6558342307"</f>
        <v>6558342307</v>
      </c>
      <c r="B73" t="str">
        <f t="shared" si="1"/>
        <v>06363391001</v>
      </c>
      <c r="C73" t="s">
        <v>15</v>
      </c>
      <c r="D73" t="s">
        <v>211</v>
      </c>
      <c r="E73" t="s">
        <v>40</v>
      </c>
      <c r="F73" s="1" t="s">
        <v>212</v>
      </c>
      <c r="G73" t="s">
        <v>213</v>
      </c>
      <c r="H73">
        <v>16854.240000000002</v>
      </c>
      <c r="I73" s="2">
        <v>42488</v>
      </c>
      <c r="J73" s="2">
        <v>43949</v>
      </c>
      <c r="K73">
        <v>9855.06</v>
      </c>
    </row>
    <row r="74" spans="1:11" ht="409.5" x14ac:dyDescent="0.25">
      <c r="A74" t="str">
        <f>"Z3B19141F7"</f>
        <v>Z3B19141F7</v>
      </c>
      <c r="B74" t="str">
        <f t="shared" si="1"/>
        <v>06363391001</v>
      </c>
      <c r="C74" t="s">
        <v>15</v>
      </c>
      <c r="D74" t="s">
        <v>214</v>
      </c>
      <c r="E74" t="s">
        <v>30</v>
      </c>
      <c r="F74" s="1" t="s">
        <v>215</v>
      </c>
      <c r="G74" t="s">
        <v>216</v>
      </c>
      <c r="H74">
        <v>21264.720000000001</v>
      </c>
      <c r="I74" s="2">
        <v>42494</v>
      </c>
      <c r="J74" s="2">
        <v>42555</v>
      </c>
      <c r="K74">
        <v>20850</v>
      </c>
    </row>
    <row r="75" spans="1:11" ht="315" x14ac:dyDescent="0.25">
      <c r="A75" t="str">
        <f>"Z85192432F"</f>
        <v>Z85192432F</v>
      </c>
      <c r="B75" t="str">
        <f t="shared" si="1"/>
        <v>06363391001</v>
      </c>
      <c r="C75" t="s">
        <v>15</v>
      </c>
      <c r="D75" t="s">
        <v>217</v>
      </c>
      <c r="E75" t="s">
        <v>30</v>
      </c>
      <c r="F75" s="1" t="s">
        <v>218</v>
      </c>
      <c r="G75" t="s">
        <v>32</v>
      </c>
      <c r="H75">
        <v>1650</v>
      </c>
      <c r="I75" s="2">
        <v>42478</v>
      </c>
      <c r="J75" s="2">
        <v>42493</v>
      </c>
      <c r="K75">
        <v>1650</v>
      </c>
    </row>
    <row r="76" spans="1:11" ht="105" x14ac:dyDescent="0.25">
      <c r="A76" t="str">
        <f>"Z4419C30B0"</f>
        <v>Z4419C30B0</v>
      </c>
      <c r="B76" t="str">
        <f t="shared" si="1"/>
        <v>06363391001</v>
      </c>
      <c r="C76" t="s">
        <v>15</v>
      </c>
      <c r="D76" t="s">
        <v>219</v>
      </c>
      <c r="E76" t="s">
        <v>17</v>
      </c>
      <c r="F76" s="1" t="s">
        <v>220</v>
      </c>
      <c r="G76" t="s">
        <v>221</v>
      </c>
      <c r="H76">
        <v>6630</v>
      </c>
      <c r="I76" s="2">
        <v>42537</v>
      </c>
      <c r="J76" s="2">
        <v>42559</v>
      </c>
      <c r="K76">
        <v>6630</v>
      </c>
    </row>
    <row r="77" spans="1:11" ht="409.5" x14ac:dyDescent="0.25">
      <c r="A77" t="str">
        <f>"Z7E1948B9E"</f>
        <v>Z7E1948B9E</v>
      </c>
      <c r="B77" t="str">
        <f t="shared" si="1"/>
        <v>06363391001</v>
      </c>
      <c r="C77" t="s">
        <v>15</v>
      </c>
      <c r="D77" t="s">
        <v>222</v>
      </c>
      <c r="E77" t="s">
        <v>30</v>
      </c>
      <c r="F77" s="1" t="s">
        <v>223</v>
      </c>
      <c r="G77" t="s">
        <v>102</v>
      </c>
      <c r="H77">
        <v>15000</v>
      </c>
      <c r="I77" s="2">
        <v>42499</v>
      </c>
      <c r="J77" s="2">
        <v>42591</v>
      </c>
      <c r="K77">
        <v>14621.27</v>
      </c>
    </row>
    <row r="78" spans="1:11" ht="75" x14ac:dyDescent="0.25">
      <c r="A78" t="str">
        <f>"66885416A3"</f>
        <v>66885416A3</v>
      </c>
      <c r="B78" t="str">
        <f t="shared" si="1"/>
        <v>06363391001</v>
      </c>
      <c r="C78" t="s">
        <v>15</v>
      </c>
      <c r="D78" t="s">
        <v>224</v>
      </c>
      <c r="E78" t="s">
        <v>40</v>
      </c>
      <c r="F78" s="1" t="s">
        <v>225</v>
      </c>
      <c r="G78" t="s">
        <v>226</v>
      </c>
      <c r="H78">
        <v>0</v>
      </c>
      <c r="I78" s="2">
        <v>42583</v>
      </c>
      <c r="J78" s="2">
        <v>42947</v>
      </c>
      <c r="K78">
        <v>886699.11</v>
      </c>
    </row>
    <row r="79" spans="1:11" ht="90" x14ac:dyDescent="0.25">
      <c r="A79" t="str">
        <f>"Z1F19A840E"</f>
        <v>Z1F19A840E</v>
      </c>
      <c r="B79" t="str">
        <f t="shared" si="1"/>
        <v>06363391001</v>
      </c>
      <c r="C79" t="s">
        <v>15</v>
      </c>
      <c r="D79" t="s">
        <v>227</v>
      </c>
      <c r="E79" t="s">
        <v>17</v>
      </c>
      <c r="F79" s="1" t="s">
        <v>228</v>
      </c>
      <c r="G79" t="s">
        <v>229</v>
      </c>
      <c r="H79">
        <v>0</v>
      </c>
      <c r="I79" s="2">
        <v>42370</v>
      </c>
      <c r="J79" s="2">
        <v>43100</v>
      </c>
      <c r="K79">
        <v>0</v>
      </c>
    </row>
    <row r="80" spans="1:11" ht="90" x14ac:dyDescent="0.25">
      <c r="A80" t="str">
        <f>"Z8F19E9EE9"</f>
        <v>Z8F19E9EE9</v>
      </c>
      <c r="B80" t="str">
        <f t="shared" si="1"/>
        <v>06363391001</v>
      </c>
      <c r="C80" t="s">
        <v>15</v>
      </c>
      <c r="D80" t="s">
        <v>230</v>
      </c>
      <c r="E80" t="s">
        <v>17</v>
      </c>
      <c r="F80" s="1" t="s">
        <v>231</v>
      </c>
      <c r="G80" t="s">
        <v>232</v>
      </c>
      <c r="H80">
        <v>0</v>
      </c>
      <c r="I80" s="2">
        <v>42370</v>
      </c>
      <c r="J80" s="2">
        <v>43100</v>
      </c>
      <c r="K80">
        <v>0</v>
      </c>
    </row>
    <row r="81" spans="1:11" ht="135" x14ac:dyDescent="0.25">
      <c r="A81" t="str">
        <f>"6561065A1C"</f>
        <v>6561065A1C</v>
      </c>
      <c r="B81" t="str">
        <f t="shared" si="1"/>
        <v>06363391001</v>
      </c>
      <c r="C81" t="s">
        <v>15</v>
      </c>
      <c r="D81" t="s">
        <v>233</v>
      </c>
      <c r="E81" t="s">
        <v>40</v>
      </c>
      <c r="F81" s="1" t="s">
        <v>212</v>
      </c>
      <c r="G81" t="s">
        <v>213</v>
      </c>
      <c r="H81">
        <v>16433.28</v>
      </c>
      <c r="I81" s="2">
        <v>42507</v>
      </c>
      <c r="J81" s="2">
        <v>43968</v>
      </c>
      <c r="K81">
        <v>10767.77</v>
      </c>
    </row>
    <row r="82" spans="1:11" ht="120" x14ac:dyDescent="0.25">
      <c r="A82" t="str">
        <f>"ZC619E9F07"</f>
        <v>ZC619E9F07</v>
      </c>
      <c r="B82" t="str">
        <f t="shared" si="1"/>
        <v>06363391001</v>
      </c>
      <c r="C82" t="s">
        <v>15</v>
      </c>
      <c r="D82" t="s">
        <v>234</v>
      </c>
      <c r="E82" t="s">
        <v>17</v>
      </c>
      <c r="F82" s="1" t="s">
        <v>235</v>
      </c>
      <c r="G82" t="s">
        <v>236</v>
      </c>
      <c r="H82">
        <v>0</v>
      </c>
      <c r="I82" s="2">
        <v>42370</v>
      </c>
      <c r="J82" s="2">
        <v>43100</v>
      </c>
      <c r="K82">
        <v>1307.46</v>
      </c>
    </row>
    <row r="83" spans="1:11" ht="409.5" x14ac:dyDescent="0.25">
      <c r="A83" t="str">
        <f>"Z7F194F3D1"</f>
        <v>Z7F194F3D1</v>
      </c>
      <c r="B83" t="str">
        <f t="shared" si="1"/>
        <v>06363391001</v>
      </c>
      <c r="C83" t="s">
        <v>15</v>
      </c>
      <c r="D83" t="s">
        <v>237</v>
      </c>
      <c r="E83" t="s">
        <v>30</v>
      </c>
      <c r="F83" s="1" t="s">
        <v>238</v>
      </c>
      <c r="G83" t="s">
        <v>239</v>
      </c>
      <c r="H83">
        <v>1412.5</v>
      </c>
      <c r="I83" s="2">
        <v>42509</v>
      </c>
      <c r="J83" s="2">
        <v>42509</v>
      </c>
      <c r="K83">
        <v>0</v>
      </c>
    </row>
    <row r="84" spans="1:11" ht="375" x14ac:dyDescent="0.25">
      <c r="A84" t="str">
        <f>"ZAB194F309"</f>
        <v>ZAB194F309</v>
      </c>
      <c r="B84" t="str">
        <f t="shared" si="1"/>
        <v>06363391001</v>
      </c>
      <c r="C84" t="s">
        <v>15</v>
      </c>
      <c r="D84" t="s">
        <v>240</v>
      </c>
      <c r="E84" t="s">
        <v>30</v>
      </c>
      <c r="F84" s="1" t="s">
        <v>241</v>
      </c>
      <c r="G84" t="s">
        <v>242</v>
      </c>
      <c r="H84">
        <v>1470</v>
      </c>
      <c r="I84" s="2">
        <v>42509</v>
      </c>
      <c r="J84" s="2">
        <v>42509</v>
      </c>
      <c r="K84">
        <v>1470</v>
      </c>
    </row>
    <row r="85" spans="1:11" ht="75" x14ac:dyDescent="0.25">
      <c r="A85" t="str">
        <f>"X1418115B8"</f>
        <v>X1418115B8</v>
      </c>
      <c r="B85" t="str">
        <f t="shared" si="1"/>
        <v>06363391001</v>
      </c>
      <c r="C85" t="s">
        <v>15</v>
      </c>
      <c r="D85" t="s">
        <v>243</v>
      </c>
      <c r="E85" t="s">
        <v>17</v>
      </c>
      <c r="F85" s="1" t="s">
        <v>244</v>
      </c>
      <c r="G85" t="s">
        <v>245</v>
      </c>
      <c r="H85">
        <v>0</v>
      </c>
      <c r="I85" s="2">
        <v>42411</v>
      </c>
      <c r="J85" s="2">
        <v>42513</v>
      </c>
      <c r="K85">
        <v>4420</v>
      </c>
    </row>
    <row r="86" spans="1:11" ht="120" x14ac:dyDescent="0.25">
      <c r="A86" t="str">
        <f>"Z3619FEDC6"</f>
        <v>Z3619FEDC6</v>
      </c>
      <c r="B86" t="str">
        <f t="shared" si="1"/>
        <v>06363391001</v>
      </c>
      <c r="C86" t="s">
        <v>15</v>
      </c>
      <c r="D86" t="s">
        <v>246</v>
      </c>
      <c r="E86" t="s">
        <v>17</v>
      </c>
      <c r="F86" s="1" t="s">
        <v>247</v>
      </c>
      <c r="G86" t="s">
        <v>248</v>
      </c>
      <c r="H86">
        <v>350</v>
      </c>
      <c r="I86" s="2">
        <v>42515</v>
      </c>
      <c r="J86" s="2">
        <v>42517</v>
      </c>
      <c r="K86">
        <v>350</v>
      </c>
    </row>
    <row r="87" spans="1:11" ht="105" x14ac:dyDescent="0.25">
      <c r="A87" t="str">
        <f>"Z201A04016"</f>
        <v>Z201A04016</v>
      </c>
      <c r="B87" t="str">
        <f t="shared" si="1"/>
        <v>06363391001</v>
      </c>
      <c r="C87" t="s">
        <v>15</v>
      </c>
      <c r="D87" t="s">
        <v>249</v>
      </c>
      <c r="E87" t="s">
        <v>17</v>
      </c>
      <c r="F87" s="1" t="s">
        <v>250</v>
      </c>
      <c r="G87" t="s">
        <v>251</v>
      </c>
      <c r="H87">
        <v>0</v>
      </c>
      <c r="I87" s="2">
        <v>42370</v>
      </c>
      <c r="J87" s="2">
        <v>42766</v>
      </c>
      <c r="K87">
        <v>0</v>
      </c>
    </row>
    <row r="88" spans="1:11" ht="105" x14ac:dyDescent="0.25">
      <c r="A88" t="str">
        <f>"Z6319D9AFE"</f>
        <v>Z6319D9AFE</v>
      </c>
      <c r="B88" t="str">
        <f t="shared" si="1"/>
        <v>06363391001</v>
      </c>
      <c r="C88" t="s">
        <v>15</v>
      </c>
      <c r="D88" t="s">
        <v>252</v>
      </c>
      <c r="E88" t="s">
        <v>17</v>
      </c>
      <c r="F88" s="1" t="s">
        <v>253</v>
      </c>
      <c r="G88" t="s">
        <v>254</v>
      </c>
      <c r="H88">
        <v>750</v>
      </c>
      <c r="I88" s="2">
        <v>42540</v>
      </c>
      <c r="J88" s="2">
        <v>42540</v>
      </c>
      <c r="K88">
        <v>750</v>
      </c>
    </row>
    <row r="89" spans="1:11" ht="105" x14ac:dyDescent="0.25">
      <c r="A89" t="str">
        <f>"ZDA1A08ABB"</f>
        <v>ZDA1A08ABB</v>
      </c>
      <c r="B89" t="str">
        <f t="shared" si="1"/>
        <v>06363391001</v>
      </c>
      <c r="C89" t="s">
        <v>15</v>
      </c>
      <c r="D89" t="s">
        <v>255</v>
      </c>
      <c r="E89" t="s">
        <v>17</v>
      </c>
      <c r="F89" s="1" t="s">
        <v>256</v>
      </c>
      <c r="G89" t="s">
        <v>257</v>
      </c>
      <c r="H89">
        <v>172.8</v>
      </c>
      <c r="I89" s="2">
        <v>42516</v>
      </c>
      <c r="J89" s="2">
        <v>42516</v>
      </c>
      <c r="K89">
        <v>172.8</v>
      </c>
    </row>
    <row r="90" spans="1:11" ht="90" x14ac:dyDescent="0.25">
      <c r="A90" t="str">
        <f>"671089990A"</f>
        <v>671089990A</v>
      </c>
      <c r="B90" t="str">
        <f t="shared" si="1"/>
        <v>06363391001</v>
      </c>
      <c r="C90" t="s">
        <v>15</v>
      </c>
      <c r="D90" t="s">
        <v>258</v>
      </c>
      <c r="E90" t="s">
        <v>40</v>
      </c>
      <c r="F90" s="1" t="s">
        <v>132</v>
      </c>
      <c r="G90" t="s">
        <v>133</v>
      </c>
      <c r="H90">
        <v>2371.5</v>
      </c>
      <c r="I90" s="2">
        <v>42522</v>
      </c>
      <c r="J90" s="2">
        <v>42524</v>
      </c>
      <c r="K90">
        <v>2371.5</v>
      </c>
    </row>
    <row r="91" spans="1:11" ht="135" x14ac:dyDescent="0.25">
      <c r="A91" t="str">
        <f>"6710896691"</f>
        <v>6710896691</v>
      </c>
      <c r="B91" t="str">
        <f t="shared" si="1"/>
        <v>06363391001</v>
      </c>
      <c r="C91" t="s">
        <v>15</v>
      </c>
      <c r="D91" t="s">
        <v>259</v>
      </c>
      <c r="E91" t="s">
        <v>40</v>
      </c>
      <c r="F91" s="1" t="s">
        <v>135</v>
      </c>
      <c r="G91" t="s">
        <v>136</v>
      </c>
      <c r="H91">
        <v>425</v>
      </c>
      <c r="I91" s="2">
        <v>42524</v>
      </c>
      <c r="J91" s="2">
        <v>42524</v>
      </c>
      <c r="K91">
        <v>425</v>
      </c>
    </row>
    <row r="92" spans="1:11" ht="90" x14ac:dyDescent="0.25">
      <c r="A92" t="str">
        <f>"Z841A5D421"</f>
        <v>Z841A5D421</v>
      </c>
      <c r="B92" t="str">
        <f t="shared" si="1"/>
        <v>06363391001</v>
      </c>
      <c r="C92" t="s">
        <v>15</v>
      </c>
      <c r="D92" t="s">
        <v>260</v>
      </c>
      <c r="E92" t="s">
        <v>17</v>
      </c>
      <c r="F92" s="1" t="s">
        <v>163</v>
      </c>
      <c r="G92" t="s">
        <v>164</v>
      </c>
      <c r="H92">
        <v>768.03</v>
      </c>
      <c r="I92" s="2">
        <v>42545</v>
      </c>
      <c r="J92" s="2">
        <v>42562</v>
      </c>
      <c r="K92">
        <v>768.02</v>
      </c>
    </row>
    <row r="93" spans="1:11" ht="75" x14ac:dyDescent="0.25">
      <c r="A93" t="str">
        <f>"Z711A14818"</f>
        <v>Z711A14818</v>
      </c>
      <c r="B93" t="str">
        <f t="shared" si="1"/>
        <v>06363391001</v>
      </c>
      <c r="C93" t="s">
        <v>15</v>
      </c>
      <c r="D93" t="s">
        <v>261</v>
      </c>
      <c r="E93" t="s">
        <v>17</v>
      </c>
      <c r="F93" s="1" t="s">
        <v>262</v>
      </c>
      <c r="G93" t="s">
        <v>263</v>
      </c>
      <c r="H93">
        <v>540</v>
      </c>
      <c r="I93" s="2">
        <v>42520</v>
      </c>
      <c r="J93" s="2">
        <v>42551</v>
      </c>
      <c r="K93">
        <v>540</v>
      </c>
    </row>
    <row r="94" spans="1:11" ht="409.5" x14ac:dyDescent="0.25">
      <c r="A94" t="str">
        <f>"Z6619F755E"</f>
        <v>Z6619F755E</v>
      </c>
      <c r="B94" t="str">
        <f t="shared" si="1"/>
        <v>06363391001</v>
      </c>
      <c r="C94" t="s">
        <v>15</v>
      </c>
      <c r="D94" t="s">
        <v>264</v>
      </c>
      <c r="E94" t="s">
        <v>30</v>
      </c>
      <c r="F94" s="1" t="s">
        <v>265</v>
      </c>
      <c r="G94" t="s">
        <v>266</v>
      </c>
      <c r="H94">
        <v>1063</v>
      </c>
      <c r="I94" s="2">
        <v>42522</v>
      </c>
      <c r="J94" s="2">
        <v>42542</v>
      </c>
      <c r="K94">
        <v>1063</v>
      </c>
    </row>
    <row r="95" spans="1:11" ht="165" x14ac:dyDescent="0.25">
      <c r="A95" t="str">
        <f>"Z0B1A3E0D0"</f>
        <v>Z0B1A3E0D0</v>
      </c>
      <c r="B95" t="str">
        <f t="shared" si="1"/>
        <v>06363391001</v>
      </c>
      <c r="C95" t="s">
        <v>15</v>
      </c>
      <c r="D95" t="s">
        <v>267</v>
      </c>
      <c r="E95" t="s">
        <v>17</v>
      </c>
      <c r="F95" s="1" t="s">
        <v>268</v>
      </c>
      <c r="G95" t="s">
        <v>266</v>
      </c>
      <c r="H95">
        <v>479.56</v>
      </c>
      <c r="I95" s="2">
        <v>42534</v>
      </c>
      <c r="J95" s="2">
        <v>42898</v>
      </c>
      <c r="K95">
        <v>479.56</v>
      </c>
    </row>
    <row r="96" spans="1:11" ht="135" x14ac:dyDescent="0.25">
      <c r="A96" t="str">
        <f>"655749473B"</f>
        <v>655749473B</v>
      </c>
      <c r="B96" t="str">
        <f t="shared" si="1"/>
        <v>06363391001</v>
      </c>
      <c r="C96" t="s">
        <v>15</v>
      </c>
      <c r="D96" t="s">
        <v>269</v>
      </c>
      <c r="E96" t="s">
        <v>40</v>
      </c>
      <c r="F96" s="1" t="s">
        <v>135</v>
      </c>
      <c r="G96" t="s">
        <v>136</v>
      </c>
      <c r="H96">
        <v>2336.16</v>
      </c>
      <c r="I96" s="2">
        <v>42445</v>
      </c>
      <c r="J96" s="2">
        <v>43905</v>
      </c>
      <c r="K96">
        <v>2089.06</v>
      </c>
    </row>
    <row r="97" spans="1:11" ht="90" x14ac:dyDescent="0.25">
      <c r="A97" t="str">
        <f>"Z9E1A34C2F"</f>
        <v>Z9E1A34C2F</v>
      </c>
      <c r="B97" t="str">
        <f t="shared" si="1"/>
        <v>06363391001</v>
      </c>
      <c r="C97" t="s">
        <v>15</v>
      </c>
      <c r="D97" t="s">
        <v>270</v>
      </c>
      <c r="E97" t="s">
        <v>17</v>
      </c>
      <c r="F97" s="1" t="s">
        <v>94</v>
      </c>
      <c r="G97" t="s">
        <v>95</v>
      </c>
      <c r="H97">
        <v>721</v>
      </c>
      <c r="I97" s="2">
        <v>42531</v>
      </c>
      <c r="J97" s="2">
        <v>42531</v>
      </c>
      <c r="K97">
        <v>0</v>
      </c>
    </row>
    <row r="98" spans="1:11" ht="90" x14ac:dyDescent="0.25">
      <c r="A98" t="str">
        <f>"ZB61A3CC3B"</f>
        <v>ZB61A3CC3B</v>
      </c>
      <c r="B98" t="str">
        <f t="shared" si="1"/>
        <v>06363391001</v>
      </c>
      <c r="C98" t="s">
        <v>15</v>
      </c>
      <c r="D98" t="s">
        <v>271</v>
      </c>
      <c r="E98" t="s">
        <v>17</v>
      </c>
      <c r="F98" s="1" t="s">
        <v>272</v>
      </c>
      <c r="G98" t="s">
        <v>273</v>
      </c>
      <c r="H98">
        <v>1254</v>
      </c>
      <c r="I98" s="2">
        <v>42534</v>
      </c>
      <c r="J98" s="2">
        <v>43629</v>
      </c>
      <c r="K98">
        <v>1254</v>
      </c>
    </row>
    <row r="99" spans="1:11" ht="75" x14ac:dyDescent="0.25">
      <c r="A99" t="str">
        <f>"ZEA1A44328"</f>
        <v>ZEA1A44328</v>
      </c>
      <c r="B99" t="str">
        <f t="shared" si="1"/>
        <v>06363391001</v>
      </c>
      <c r="C99" t="s">
        <v>15</v>
      </c>
      <c r="D99" t="s">
        <v>274</v>
      </c>
      <c r="E99" t="s">
        <v>17</v>
      </c>
      <c r="F99" s="1" t="s">
        <v>107</v>
      </c>
      <c r="G99" t="s">
        <v>108</v>
      </c>
      <c r="H99">
        <v>360</v>
      </c>
      <c r="I99" s="2">
        <v>42534</v>
      </c>
      <c r="J99" s="2">
        <v>42551</v>
      </c>
      <c r="K99">
        <v>360</v>
      </c>
    </row>
    <row r="100" spans="1:11" ht="180" x14ac:dyDescent="0.25">
      <c r="A100" t="str">
        <f>"Z511A0437D"</f>
        <v>Z511A0437D</v>
      </c>
      <c r="B100" t="str">
        <f t="shared" si="1"/>
        <v>06363391001</v>
      </c>
      <c r="C100" t="s">
        <v>15</v>
      </c>
      <c r="D100" t="s">
        <v>275</v>
      </c>
      <c r="E100" t="s">
        <v>17</v>
      </c>
      <c r="F100" s="1" t="s">
        <v>276</v>
      </c>
      <c r="G100" t="s">
        <v>277</v>
      </c>
      <c r="H100">
        <v>186</v>
      </c>
      <c r="I100" s="2">
        <v>42520</v>
      </c>
      <c r="J100" s="2">
        <v>42374</v>
      </c>
      <c r="K100">
        <v>186</v>
      </c>
    </row>
    <row r="101" spans="1:11" ht="409.5" x14ac:dyDescent="0.25">
      <c r="A101" t="str">
        <f>"Z141A54A17"</f>
        <v>Z141A54A17</v>
      </c>
      <c r="B101" t="str">
        <f t="shared" si="1"/>
        <v>06363391001</v>
      </c>
      <c r="C101" t="s">
        <v>15</v>
      </c>
      <c r="D101" t="s">
        <v>278</v>
      </c>
      <c r="E101" t="s">
        <v>17</v>
      </c>
      <c r="F101" s="1" t="s">
        <v>279</v>
      </c>
      <c r="G101" t="s">
        <v>280</v>
      </c>
      <c r="H101">
        <v>698.5</v>
      </c>
      <c r="I101" s="2">
        <v>42542</v>
      </c>
      <c r="J101" s="2">
        <v>42557</v>
      </c>
      <c r="K101">
        <v>698.5</v>
      </c>
    </row>
    <row r="102" spans="1:11" ht="360" x14ac:dyDescent="0.25">
      <c r="A102" t="str">
        <f>"X9A171FE83"</f>
        <v>X9A171FE83</v>
      </c>
      <c r="B102" t="str">
        <f t="shared" si="1"/>
        <v>06363391001</v>
      </c>
      <c r="C102" t="s">
        <v>15</v>
      </c>
      <c r="D102" t="s">
        <v>281</v>
      </c>
      <c r="E102" t="s">
        <v>17</v>
      </c>
      <c r="F102" s="1" t="s">
        <v>282</v>
      </c>
      <c r="G102" t="s">
        <v>283</v>
      </c>
      <c r="H102">
        <v>15962</v>
      </c>
      <c r="I102" s="2">
        <v>42410</v>
      </c>
      <c r="J102" s="2">
        <v>42459</v>
      </c>
      <c r="K102">
        <v>15962</v>
      </c>
    </row>
    <row r="103" spans="1:11" ht="150" x14ac:dyDescent="0.25">
      <c r="A103" t="str">
        <f>"Z1A1A448DD"</f>
        <v>Z1A1A448DD</v>
      </c>
      <c r="B103" t="str">
        <f t="shared" si="1"/>
        <v>06363391001</v>
      </c>
      <c r="C103" t="s">
        <v>15</v>
      </c>
      <c r="D103" t="s">
        <v>284</v>
      </c>
      <c r="E103" t="s">
        <v>17</v>
      </c>
      <c r="F103" s="1" t="s">
        <v>285</v>
      </c>
      <c r="G103" t="s">
        <v>286</v>
      </c>
      <c r="H103">
        <v>250</v>
      </c>
      <c r="I103" s="2">
        <v>42535</v>
      </c>
      <c r="J103" s="2">
        <v>42537</v>
      </c>
      <c r="K103">
        <v>250</v>
      </c>
    </row>
    <row r="104" spans="1:11" ht="360" x14ac:dyDescent="0.25">
      <c r="A104" t="str">
        <f>"Z641A7B5BD"</f>
        <v>Z641A7B5BD</v>
      </c>
      <c r="B104" t="str">
        <f t="shared" si="1"/>
        <v>06363391001</v>
      </c>
      <c r="C104" t="s">
        <v>15</v>
      </c>
      <c r="D104" t="s">
        <v>287</v>
      </c>
      <c r="E104" t="s">
        <v>17</v>
      </c>
      <c r="F104" s="1" t="s">
        <v>288</v>
      </c>
      <c r="G104" t="s">
        <v>289</v>
      </c>
      <c r="H104">
        <v>983.3</v>
      </c>
      <c r="I104" s="2">
        <v>42552</v>
      </c>
      <c r="J104" s="2">
        <v>42572</v>
      </c>
      <c r="K104">
        <v>983.3</v>
      </c>
    </row>
    <row r="105" spans="1:11" ht="90" x14ac:dyDescent="0.25">
      <c r="A105" t="str">
        <f>"66728165F5"</f>
        <v>66728165F5</v>
      </c>
      <c r="B105" t="str">
        <f t="shared" si="1"/>
        <v>06363391001</v>
      </c>
      <c r="C105" t="s">
        <v>15</v>
      </c>
      <c r="D105" t="s">
        <v>290</v>
      </c>
      <c r="E105" t="s">
        <v>17</v>
      </c>
      <c r="F105" s="1" t="s">
        <v>291</v>
      </c>
      <c r="G105" t="s">
        <v>292</v>
      </c>
      <c r="H105">
        <v>0</v>
      </c>
      <c r="I105" s="2">
        <v>42370</v>
      </c>
      <c r="J105" s="2">
        <v>43100</v>
      </c>
      <c r="K105">
        <v>4131.3900000000003</v>
      </c>
    </row>
    <row r="106" spans="1:11" ht="409.5" x14ac:dyDescent="0.25">
      <c r="A106" t="str">
        <f>"5866041A29"</f>
        <v>5866041A29</v>
      </c>
      <c r="B106" t="str">
        <f t="shared" si="1"/>
        <v>06363391001</v>
      </c>
      <c r="C106" t="s">
        <v>15</v>
      </c>
      <c r="D106" t="s">
        <v>293</v>
      </c>
      <c r="E106" t="s">
        <v>186</v>
      </c>
      <c r="F106" s="1" t="s">
        <v>294</v>
      </c>
      <c r="G106" t="s">
        <v>295</v>
      </c>
      <c r="H106">
        <v>9992805.7899999991</v>
      </c>
      <c r="I106" s="2">
        <v>42467</v>
      </c>
      <c r="J106" s="2">
        <v>43852</v>
      </c>
      <c r="K106">
        <v>0</v>
      </c>
    </row>
    <row r="107" spans="1:11" ht="409.5" x14ac:dyDescent="0.25">
      <c r="A107" t="str">
        <f>"5866079985"</f>
        <v>5866079985</v>
      </c>
      <c r="B107" t="str">
        <f t="shared" si="1"/>
        <v>06363391001</v>
      </c>
      <c r="C107" t="s">
        <v>15</v>
      </c>
      <c r="D107" t="s">
        <v>296</v>
      </c>
      <c r="E107" t="s">
        <v>186</v>
      </c>
      <c r="F107" s="1" t="s">
        <v>297</v>
      </c>
      <c r="G107" t="s">
        <v>295</v>
      </c>
      <c r="H107">
        <v>12676372.68</v>
      </c>
      <c r="I107" s="2">
        <v>42444</v>
      </c>
      <c r="J107" s="2">
        <v>43852</v>
      </c>
      <c r="K107">
        <v>978400.59</v>
      </c>
    </row>
    <row r="108" spans="1:11" ht="409.5" x14ac:dyDescent="0.25">
      <c r="A108" t="str">
        <f>"5866048FEE"</f>
        <v>5866048FEE</v>
      </c>
      <c r="B108" t="str">
        <f t="shared" si="1"/>
        <v>06363391001</v>
      </c>
      <c r="C108" t="s">
        <v>15</v>
      </c>
      <c r="D108" t="s">
        <v>298</v>
      </c>
      <c r="E108" t="s">
        <v>186</v>
      </c>
      <c r="F108" s="1" t="s">
        <v>299</v>
      </c>
      <c r="G108" t="s">
        <v>295</v>
      </c>
      <c r="H108">
        <v>7383612.4500000002</v>
      </c>
      <c r="I108" s="2">
        <v>42444</v>
      </c>
      <c r="J108" s="2">
        <v>43852</v>
      </c>
      <c r="K108">
        <v>0</v>
      </c>
    </row>
    <row r="109" spans="1:11" ht="409.5" x14ac:dyDescent="0.25">
      <c r="A109" t="str">
        <f>"5866034464"</f>
        <v>5866034464</v>
      </c>
      <c r="B109" t="str">
        <f t="shared" si="1"/>
        <v>06363391001</v>
      </c>
      <c r="C109" t="s">
        <v>15</v>
      </c>
      <c r="D109" t="s">
        <v>300</v>
      </c>
      <c r="E109" t="s">
        <v>186</v>
      </c>
      <c r="F109" s="1" t="s">
        <v>301</v>
      </c>
      <c r="G109" t="s">
        <v>302</v>
      </c>
      <c r="H109">
        <v>5470907.5</v>
      </c>
      <c r="I109" s="2">
        <v>42515</v>
      </c>
      <c r="J109" s="2">
        <v>43852</v>
      </c>
      <c r="K109">
        <v>0</v>
      </c>
    </row>
    <row r="110" spans="1:11" ht="409.5" x14ac:dyDescent="0.25">
      <c r="A110" t="str">
        <f>"58660387B0"</f>
        <v>58660387B0</v>
      </c>
      <c r="B110" t="str">
        <f t="shared" si="1"/>
        <v>06363391001</v>
      </c>
      <c r="C110" t="s">
        <v>15</v>
      </c>
      <c r="D110" t="s">
        <v>303</v>
      </c>
      <c r="E110" t="s">
        <v>186</v>
      </c>
      <c r="F110" s="1" t="s">
        <v>304</v>
      </c>
      <c r="G110" s="1" t="s">
        <v>305</v>
      </c>
      <c r="H110">
        <v>12971116.300000001</v>
      </c>
      <c r="I110" s="2">
        <v>42474</v>
      </c>
      <c r="J110" s="2">
        <v>43852</v>
      </c>
      <c r="K110">
        <v>0</v>
      </c>
    </row>
    <row r="111" spans="1:11" ht="409.5" x14ac:dyDescent="0.25">
      <c r="A111" t="str">
        <f>"586605126C"</f>
        <v>586605126C</v>
      </c>
      <c r="B111" t="str">
        <f t="shared" si="1"/>
        <v>06363391001</v>
      </c>
      <c r="C111" t="s">
        <v>15</v>
      </c>
      <c r="D111" t="s">
        <v>306</v>
      </c>
      <c r="E111" t="s">
        <v>186</v>
      </c>
      <c r="F111" s="1" t="s">
        <v>307</v>
      </c>
      <c r="G111" s="1" t="s">
        <v>308</v>
      </c>
      <c r="H111">
        <v>4043897.43</v>
      </c>
      <c r="I111" s="2">
        <v>42479</v>
      </c>
      <c r="J111" s="2">
        <v>43852</v>
      </c>
      <c r="K111">
        <v>0</v>
      </c>
    </row>
    <row r="112" spans="1:11" ht="409.5" x14ac:dyDescent="0.25">
      <c r="A112" t="str">
        <f>"586609029B"</f>
        <v>586609029B</v>
      </c>
      <c r="B112" t="str">
        <f t="shared" si="1"/>
        <v>06363391001</v>
      </c>
      <c r="C112" t="s">
        <v>15</v>
      </c>
      <c r="D112" t="s">
        <v>309</v>
      </c>
      <c r="E112" t="s">
        <v>186</v>
      </c>
      <c r="F112" s="1" t="s">
        <v>310</v>
      </c>
      <c r="G112" s="1" t="s">
        <v>311</v>
      </c>
      <c r="H112">
        <v>7699296.5800000001</v>
      </c>
      <c r="I112" s="2">
        <v>42474</v>
      </c>
      <c r="J112" s="2">
        <v>43852</v>
      </c>
      <c r="K112">
        <v>0</v>
      </c>
    </row>
    <row r="113" spans="1:11" ht="225" x14ac:dyDescent="0.25">
      <c r="A113" t="str">
        <f>"ZE61A48F89"</f>
        <v>ZE61A48F89</v>
      </c>
      <c r="B113" t="str">
        <f t="shared" si="1"/>
        <v>06363391001</v>
      </c>
      <c r="C113" t="s">
        <v>15</v>
      </c>
      <c r="D113" t="s">
        <v>312</v>
      </c>
      <c r="E113" t="s">
        <v>17</v>
      </c>
      <c r="F113" s="1" t="s">
        <v>313</v>
      </c>
      <c r="G113" t="s">
        <v>314</v>
      </c>
      <c r="H113">
        <v>72</v>
      </c>
      <c r="I113" s="2">
        <v>42536</v>
      </c>
      <c r="J113" s="2">
        <v>42556</v>
      </c>
      <c r="K113">
        <v>72</v>
      </c>
    </row>
    <row r="114" spans="1:11" ht="120" x14ac:dyDescent="0.25">
      <c r="A114" t="str">
        <f>"Z0D19A841B"</f>
        <v>Z0D19A841B</v>
      </c>
      <c r="B114" t="str">
        <f t="shared" si="1"/>
        <v>06363391001</v>
      </c>
      <c r="C114" t="s">
        <v>15</v>
      </c>
      <c r="D114" t="s">
        <v>315</v>
      </c>
      <c r="E114" t="s">
        <v>17</v>
      </c>
      <c r="F114" s="1" t="s">
        <v>316</v>
      </c>
      <c r="G114" t="s">
        <v>317</v>
      </c>
      <c r="H114">
        <v>0</v>
      </c>
      <c r="I114" s="2">
        <v>42370</v>
      </c>
      <c r="J114" s="2">
        <v>43100</v>
      </c>
      <c r="K114">
        <v>180</v>
      </c>
    </row>
    <row r="115" spans="1:11" ht="75" x14ac:dyDescent="0.25">
      <c r="A115" t="str">
        <f>"X2618115AB"</f>
        <v>X2618115AB</v>
      </c>
      <c r="B115" t="str">
        <f t="shared" si="1"/>
        <v>06363391001</v>
      </c>
      <c r="C115" t="s">
        <v>15</v>
      </c>
      <c r="D115" t="s">
        <v>318</v>
      </c>
      <c r="E115" t="s">
        <v>17</v>
      </c>
      <c r="F115" s="1" t="s">
        <v>319</v>
      </c>
      <c r="G115" t="s">
        <v>320</v>
      </c>
      <c r="H115">
        <v>959</v>
      </c>
      <c r="I115" s="2">
        <v>42401</v>
      </c>
      <c r="J115" s="2">
        <v>42438</v>
      </c>
      <c r="K115">
        <v>959</v>
      </c>
    </row>
    <row r="116" spans="1:11" ht="255" x14ac:dyDescent="0.25">
      <c r="A116" t="str">
        <f>"Z501A1CF54"</f>
        <v>Z501A1CF54</v>
      </c>
      <c r="B116" t="str">
        <f t="shared" si="1"/>
        <v>06363391001</v>
      </c>
      <c r="C116" t="s">
        <v>15</v>
      </c>
      <c r="D116" t="s">
        <v>321</v>
      </c>
      <c r="E116" t="s">
        <v>17</v>
      </c>
      <c r="F116" s="1" t="s">
        <v>322</v>
      </c>
      <c r="G116" t="s">
        <v>100</v>
      </c>
      <c r="H116">
        <v>375.88</v>
      </c>
      <c r="I116" s="2">
        <v>42520</v>
      </c>
      <c r="J116" s="2">
        <v>42524</v>
      </c>
      <c r="K116">
        <v>375.88</v>
      </c>
    </row>
    <row r="117" spans="1:11" ht="360" x14ac:dyDescent="0.25">
      <c r="A117" t="str">
        <f>"6723506CA9"</f>
        <v>6723506CA9</v>
      </c>
      <c r="B117" t="str">
        <f t="shared" si="1"/>
        <v>06363391001</v>
      </c>
      <c r="C117" t="s">
        <v>15</v>
      </c>
      <c r="D117" t="s">
        <v>323</v>
      </c>
      <c r="E117" t="s">
        <v>30</v>
      </c>
      <c r="F117" s="1" t="s">
        <v>324</v>
      </c>
      <c r="G117" t="s">
        <v>325</v>
      </c>
      <c r="H117">
        <v>55000</v>
      </c>
      <c r="I117" s="2">
        <v>42552</v>
      </c>
      <c r="J117" s="2">
        <v>42735</v>
      </c>
      <c r="K117">
        <v>0</v>
      </c>
    </row>
    <row r="118" spans="1:11" ht="90" x14ac:dyDescent="0.25">
      <c r="A118" t="str">
        <f>"Z121A3DCD1"</f>
        <v>Z121A3DCD1</v>
      </c>
      <c r="B118" t="str">
        <f t="shared" si="1"/>
        <v>06363391001</v>
      </c>
      <c r="C118" t="s">
        <v>15</v>
      </c>
      <c r="D118" t="s">
        <v>326</v>
      </c>
      <c r="E118" t="s">
        <v>17</v>
      </c>
      <c r="F118" s="1" t="s">
        <v>94</v>
      </c>
      <c r="G118" t="s">
        <v>95</v>
      </c>
      <c r="H118">
        <v>310</v>
      </c>
      <c r="I118" s="2">
        <v>42531</v>
      </c>
      <c r="J118" s="2">
        <v>42537</v>
      </c>
      <c r="K118">
        <v>0</v>
      </c>
    </row>
    <row r="119" spans="1:11" ht="75" x14ac:dyDescent="0.25">
      <c r="A119" t="str">
        <f>"ZBE18DDD48"</f>
        <v>ZBE18DDD48</v>
      </c>
      <c r="B119" t="str">
        <f t="shared" si="1"/>
        <v>06363391001</v>
      </c>
      <c r="C119" t="s">
        <v>15</v>
      </c>
      <c r="D119" t="s">
        <v>327</v>
      </c>
      <c r="E119" t="s">
        <v>17</v>
      </c>
      <c r="F119" s="1" t="s">
        <v>244</v>
      </c>
      <c r="G119" t="s">
        <v>245</v>
      </c>
      <c r="H119">
        <v>5000</v>
      </c>
      <c r="I119" s="2">
        <v>42436</v>
      </c>
      <c r="J119" s="2">
        <v>42551</v>
      </c>
      <c r="K119">
        <v>4420.7</v>
      </c>
    </row>
    <row r="120" spans="1:11" ht="120" x14ac:dyDescent="0.25">
      <c r="A120" t="str">
        <f>"ZCA1972C1D"</f>
        <v>ZCA1972C1D</v>
      </c>
      <c r="B120" t="str">
        <f t="shared" si="1"/>
        <v>06363391001</v>
      </c>
      <c r="C120" t="s">
        <v>15</v>
      </c>
      <c r="D120" t="s">
        <v>328</v>
      </c>
      <c r="E120" t="s">
        <v>17</v>
      </c>
      <c r="F120" s="1" t="s">
        <v>329</v>
      </c>
      <c r="G120" t="s">
        <v>330</v>
      </c>
      <c r="H120">
        <v>6580</v>
      </c>
      <c r="I120" s="2">
        <v>42475</v>
      </c>
      <c r="J120" s="2">
        <v>42496</v>
      </c>
      <c r="K120">
        <v>6580</v>
      </c>
    </row>
    <row r="121" spans="1:11" ht="409.5" x14ac:dyDescent="0.25">
      <c r="A121" t="str">
        <f>"Z6F1A043BB"</f>
        <v>Z6F1A043BB</v>
      </c>
      <c r="B121" t="str">
        <f t="shared" si="1"/>
        <v>06363391001</v>
      </c>
      <c r="C121" t="s">
        <v>15</v>
      </c>
      <c r="D121" t="s">
        <v>331</v>
      </c>
      <c r="E121" t="s">
        <v>30</v>
      </c>
      <c r="F121" s="1" t="s">
        <v>332</v>
      </c>
      <c r="G121" t="s">
        <v>333</v>
      </c>
      <c r="H121">
        <v>420</v>
      </c>
      <c r="I121" s="2">
        <v>42529</v>
      </c>
      <c r="J121" s="2">
        <v>42550</v>
      </c>
      <c r="K121">
        <v>0</v>
      </c>
    </row>
    <row r="122" spans="1:11" ht="105" x14ac:dyDescent="0.25">
      <c r="A122" t="str">
        <f>"Z33159EDF1"</f>
        <v>Z33159EDF1</v>
      </c>
      <c r="B122" t="str">
        <f t="shared" si="1"/>
        <v>06363391001</v>
      </c>
      <c r="C122" t="s">
        <v>15</v>
      </c>
      <c r="D122" t="s">
        <v>334</v>
      </c>
      <c r="E122" t="s">
        <v>17</v>
      </c>
      <c r="F122" s="1" t="s">
        <v>335</v>
      </c>
      <c r="G122" t="s">
        <v>336</v>
      </c>
      <c r="H122">
        <v>217.35</v>
      </c>
      <c r="I122" s="2">
        <v>42471</v>
      </c>
      <c r="J122" s="2">
        <v>42513</v>
      </c>
      <c r="K122">
        <v>217.35</v>
      </c>
    </row>
    <row r="123" spans="1:11" ht="90" x14ac:dyDescent="0.25">
      <c r="A123" t="str">
        <f>"XB3171FE63"</f>
        <v>XB3171FE63</v>
      </c>
      <c r="B123" t="str">
        <f t="shared" si="1"/>
        <v>06363391001</v>
      </c>
      <c r="C123" t="s">
        <v>15</v>
      </c>
      <c r="D123" t="s">
        <v>337</v>
      </c>
      <c r="E123" t="s">
        <v>17</v>
      </c>
      <c r="F123" s="1" t="s">
        <v>338</v>
      </c>
      <c r="G123" t="s">
        <v>339</v>
      </c>
      <c r="H123">
        <v>0</v>
      </c>
      <c r="I123" s="2">
        <v>42370</v>
      </c>
      <c r="J123" s="2">
        <v>43100</v>
      </c>
      <c r="K123">
        <v>1532.33</v>
      </c>
    </row>
    <row r="124" spans="1:11" ht="90" x14ac:dyDescent="0.25">
      <c r="A124" t="str">
        <f>"X8B171FE64"</f>
        <v>X8B171FE64</v>
      </c>
      <c r="B124" t="str">
        <f t="shared" si="1"/>
        <v>06363391001</v>
      </c>
      <c r="C124" t="s">
        <v>15</v>
      </c>
      <c r="D124" t="s">
        <v>340</v>
      </c>
      <c r="E124" t="s">
        <v>17</v>
      </c>
      <c r="F124" s="1" t="s">
        <v>341</v>
      </c>
      <c r="G124" t="s">
        <v>342</v>
      </c>
      <c r="H124">
        <v>0</v>
      </c>
      <c r="I124" s="2">
        <v>42370</v>
      </c>
      <c r="J124" s="2">
        <v>43100</v>
      </c>
      <c r="K124">
        <v>2686.1</v>
      </c>
    </row>
    <row r="125" spans="1:11" ht="150" x14ac:dyDescent="0.25">
      <c r="A125" t="str">
        <f>"XF1171FE6E"</f>
        <v>XF1171FE6E</v>
      </c>
      <c r="B125" t="str">
        <f t="shared" si="1"/>
        <v>06363391001</v>
      </c>
      <c r="C125" t="s">
        <v>15</v>
      </c>
      <c r="D125" t="s">
        <v>343</v>
      </c>
      <c r="E125" t="s">
        <v>17</v>
      </c>
      <c r="F125" s="1" t="s">
        <v>344</v>
      </c>
      <c r="G125" t="s">
        <v>345</v>
      </c>
      <c r="H125">
        <v>0</v>
      </c>
      <c r="I125" s="2">
        <v>42370</v>
      </c>
      <c r="J125" s="2">
        <v>43100</v>
      </c>
      <c r="K125">
        <v>0</v>
      </c>
    </row>
    <row r="126" spans="1:11" ht="120" x14ac:dyDescent="0.25">
      <c r="A126" t="str">
        <f>"X6E171FE6B"</f>
        <v>X6E171FE6B</v>
      </c>
      <c r="B126" t="str">
        <f t="shared" si="1"/>
        <v>06363391001</v>
      </c>
      <c r="C126" t="s">
        <v>15</v>
      </c>
      <c r="D126" t="s">
        <v>346</v>
      </c>
      <c r="E126" t="s">
        <v>17</v>
      </c>
      <c r="F126" s="1" t="s">
        <v>347</v>
      </c>
      <c r="G126" t="s">
        <v>348</v>
      </c>
      <c r="H126">
        <v>0</v>
      </c>
      <c r="I126" s="2">
        <v>42370</v>
      </c>
      <c r="J126" s="2">
        <v>43100</v>
      </c>
      <c r="K126">
        <v>1909.08</v>
      </c>
    </row>
    <row r="127" spans="1:11" ht="150" x14ac:dyDescent="0.25">
      <c r="A127" t="str">
        <f>"X13171FE67"</f>
        <v>X13171FE67</v>
      </c>
      <c r="B127" t="str">
        <f t="shared" si="1"/>
        <v>06363391001</v>
      </c>
      <c r="C127" t="s">
        <v>15</v>
      </c>
      <c r="D127" t="s">
        <v>349</v>
      </c>
      <c r="E127" t="s">
        <v>17</v>
      </c>
      <c r="F127" s="1" t="s">
        <v>350</v>
      </c>
      <c r="G127" t="s">
        <v>351</v>
      </c>
      <c r="H127">
        <v>0</v>
      </c>
      <c r="I127" s="2">
        <v>42370</v>
      </c>
      <c r="J127" s="2">
        <v>43100</v>
      </c>
      <c r="K127">
        <v>12129.92</v>
      </c>
    </row>
    <row r="128" spans="1:11" ht="135" x14ac:dyDescent="0.25">
      <c r="A128" t="str">
        <f>"XA1171FE70"</f>
        <v>XA1171FE70</v>
      </c>
      <c r="B128" t="str">
        <f t="shared" si="1"/>
        <v>06363391001</v>
      </c>
      <c r="C128" t="s">
        <v>15</v>
      </c>
      <c r="D128" t="s">
        <v>352</v>
      </c>
      <c r="E128" t="s">
        <v>17</v>
      </c>
      <c r="F128" s="1" t="s">
        <v>353</v>
      </c>
      <c r="G128" t="s">
        <v>354</v>
      </c>
      <c r="H128">
        <v>0</v>
      </c>
      <c r="I128" s="2">
        <v>42370</v>
      </c>
      <c r="J128" s="2">
        <v>43100</v>
      </c>
      <c r="K128">
        <v>23609.200000000001</v>
      </c>
    </row>
    <row r="129" spans="1:11" ht="90" x14ac:dyDescent="0.25">
      <c r="A129" t="str">
        <f>"XBE171FE69"</f>
        <v>XBE171FE69</v>
      </c>
      <c r="B129" t="str">
        <f t="shared" si="1"/>
        <v>06363391001</v>
      </c>
      <c r="C129" t="s">
        <v>15</v>
      </c>
      <c r="D129" t="s">
        <v>355</v>
      </c>
      <c r="E129" t="s">
        <v>17</v>
      </c>
      <c r="F129" s="1" t="s">
        <v>356</v>
      </c>
      <c r="G129" t="s">
        <v>357</v>
      </c>
      <c r="H129">
        <v>0</v>
      </c>
      <c r="I129" s="2">
        <v>42370</v>
      </c>
      <c r="J129" s="2">
        <v>43100</v>
      </c>
      <c r="K129">
        <v>19866.55</v>
      </c>
    </row>
    <row r="130" spans="1:11" ht="165" x14ac:dyDescent="0.25">
      <c r="A130" t="str">
        <f>"ZF11A643DE"</f>
        <v>ZF11A643DE</v>
      </c>
      <c r="B130" t="str">
        <f t="shared" si="1"/>
        <v>06363391001</v>
      </c>
      <c r="C130" t="s">
        <v>15</v>
      </c>
      <c r="D130" t="s">
        <v>358</v>
      </c>
      <c r="E130" t="s">
        <v>17</v>
      </c>
      <c r="F130" s="1" t="s">
        <v>359</v>
      </c>
      <c r="G130" t="s">
        <v>360</v>
      </c>
      <c r="H130">
        <v>700</v>
      </c>
      <c r="I130" s="2">
        <v>42633</v>
      </c>
      <c r="J130" s="2">
        <v>42635</v>
      </c>
      <c r="K130">
        <v>700</v>
      </c>
    </row>
    <row r="131" spans="1:11" ht="409.5" x14ac:dyDescent="0.25">
      <c r="A131" t="str">
        <f>"Z659189A66"</f>
        <v>Z659189A66</v>
      </c>
      <c r="B131" t="str">
        <f t="shared" ref="B131:B194" si="2">"06363391001"</f>
        <v>06363391001</v>
      </c>
      <c r="C131" t="s">
        <v>15</v>
      </c>
      <c r="D131" t="s">
        <v>361</v>
      </c>
      <c r="E131" t="s">
        <v>30</v>
      </c>
      <c r="F131" s="1" t="s">
        <v>362</v>
      </c>
      <c r="G131" t="s">
        <v>363</v>
      </c>
      <c r="H131">
        <v>1395</v>
      </c>
      <c r="I131" s="2">
        <v>42453</v>
      </c>
      <c r="J131" s="2">
        <v>42453</v>
      </c>
      <c r="K131">
        <v>1395</v>
      </c>
    </row>
    <row r="132" spans="1:11" ht="90" x14ac:dyDescent="0.25">
      <c r="A132" t="str">
        <f>"ZC018BF782"</f>
        <v>ZC018BF782</v>
      </c>
      <c r="B132" t="str">
        <f t="shared" si="2"/>
        <v>06363391001</v>
      </c>
      <c r="C132" t="s">
        <v>15</v>
      </c>
      <c r="D132" t="s">
        <v>364</v>
      </c>
      <c r="E132" t="s">
        <v>17</v>
      </c>
      <c r="F132" s="1" t="s">
        <v>94</v>
      </c>
      <c r="G132" t="s">
        <v>95</v>
      </c>
      <c r="H132">
        <v>1509</v>
      </c>
      <c r="I132" s="2">
        <v>42430</v>
      </c>
      <c r="J132" s="2">
        <v>42430</v>
      </c>
      <c r="K132">
        <v>1509</v>
      </c>
    </row>
    <row r="133" spans="1:11" ht="90" x14ac:dyDescent="0.25">
      <c r="A133" t="str">
        <f>"Z5A19817A2"</f>
        <v>Z5A19817A2</v>
      </c>
      <c r="B133" t="str">
        <f t="shared" si="2"/>
        <v>06363391001</v>
      </c>
      <c r="C133" t="s">
        <v>15</v>
      </c>
      <c r="D133" t="s">
        <v>365</v>
      </c>
      <c r="E133" t="s">
        <v>17</v>
      </c>
      <c r="F133" s="1" t="s">
        <v>94</v>
      </c>
      <c r="G133" t="s">
        <v>95</v>
      </c>
      <c r="H133">
        <v>1385</v>
      </c>
      <c r="I133" s="2">
        <v>42480</v>
      </c>
      <c r="J133" s="2">
        <v>42480</v>
      </c>
      <c r="K133">
        <v>1385</v>
      </c>
    </row>
    <row r="134" spans="1:11" ht="90" x14ac:dyDescent="0.25">
      <c r="A134" t="str">
        <f>"Z331898A20"</f>
        <v>Z331898A20</v>
      </c>
      <c r="B134" t="str">
        <f t="shared" si="2"/>
        <v>06363391001</v>
      </c>
      <c r="C134" t="s">
        <v>15</v>
      </c>
      <c r="D134" t="s">
        <v>366</v>
      </c>
      <c r="E134" t="s">
        <v>17</v>
      </c>
      <c r="F134" s="1" t="s">
        <v>367</v>
      </c>
      <c r="G134" t="s">
        <v>368</v>
      </c>
      <c r="H134">
        <v>998</v>
      </c>
      <c r="I134" s="2">
        <v>42418</v>
      </c>
      <c r="J134" s="2">
        <v>42457</v>
      </c>
      <c r="K134">
        <v>998</v>
      </c>
    </row>
    <row r="135" spans="1:11" ht="409.5" x14ac:dyDescent="0.25">
      <c r="A135" t="str">
        <f>"Z0E18D8991"</f>
        <v>Z0E18D8991</v>
      </c>
      <c r="B135" t="str">
        <f t="shared" si="2"/>
        <v>06363391001</v>
      </c>
      <c r="C135" t="s">
        <v>15</v>
      </c>
      <c r="D135" t="s">
        <v>369</v>
      </c>
      <c r="E135" t="s">
        <v>17</v>
      </c>
      <c r="F135" s="1" t="s">
        <v>370</v>
      </c>
      <c r="G135" t="s">
        <v>371</v>
      </c>
      <c r="H135">
        <v>189</v>
      </c>
      <c r="I135" s="2">
        <v>42437</v>
      </c>
      <c r="J135" s="2">
        <v>42447</v>
      </c>
      <c r="K135">
        <v>0</v>
      </c>
    </row>
    <row r="136" spans="1:11" ht="409.5" x14ac:dyDescent="0.25">
      <c r="A136" t="str">
        <f>"6422937748"</f>
        <v>6422937748</v>
      </c>
      <c r="B136" t="str">
        <f t="shared" si="2"/>
        <v>06363391001</v>
      </c>
      <c r="C136" t="s">
        <v>15</v>
      </c>
      <c r="D136" t="s">
        <v>372</v>
      </c>
      <c r="E136" t="s">
        <v>197</v>
      </c>
      <c r="F136" s="1" t="s">
        <v>373</v>
      </c>
      <c r="G136" t="s">
        <v>374</v>
      </c>
      <c r="H136">
        <v>200000</v>
      </c>
      <c r="I136" s="2">
        <v>42394</v>
      </c>
      <c r="J136" s="2">
        <v>43124</v>
      </c>
      <c r="K136">
        <v>79978.75</v>
      </c>
    </row>
    <row r="137" spans="1:11" ht="105" x14ac:dyDescent="0.25">
      <c r="A137" t="str">
        <f>"Z17194ABAA"</f>
        <v>Z17194ABAA</v>
      </c>
      <c r="B137" t="str">
        <f t="shared" si="2"/>
        <v>06363391001</v>
      </c>
      <c r="C137" t="s">
        <v>15</v>
      </c>
      <c r="D137" t="s">
        <v>375</v>
      </c>
      <c r="E137" t="s">
        <v>17</v>
      </c>
      <c r="F137" s="1" t="s">
        <v>376</v>
      </c>
      <c r="G137" t="s">
        <v>377</v>
      </c>
      <c r="H137">
        <v>4980</v>
      </c>
      <c r="I137" s="2">
        <v>42466</v>
      </c>
      <c r="J137" s="2">
        <v>42482</v>
      </c>
      <c r="K137">
        <v>0</v>
      </c>
    </row>
    <row r="138" spans="1:11" ht="90" x14ac:dyDescent="0.25">
      <c r="A138" t="str">
        <f>"XBB18115A1"</f>
        <v>XBB18115A1</v>
      </c>
      <c r="B138" t="str">
        <f t="shared" si="2"/>
        <v>06363391001</v>
      </c>
      <c r="C138" t="s">
        <v>15</v>
      </c>
      <c r="D138" t="s">
        <v>378</v>
      </c>
      <c r="E138" t="s">
        <v>17</v>
      </c>
      <c r="F138" s="1" t="s">
        <v>379</v>
      </c>
      <c r="G138" t="s">
        <v>380</v>
      </c>
      <c r="H138">
        <v>496</v>
      </c>
      <c r="I138" s="2">
        <v>42388</v>
      </c>
      <c r="J138" s="2">
        <v>42886</v>
      </c>
      <c r="K138">
        <v>496</v>
      </c>
    </row>
    <row r="139" spans="1:11" ht="90" x14ac:dyDescent="0.25">
      <c r="A139" t="str">
        <f>"ZD41895379"</f>
        <v>ZD41895379</v>
      </c>
      <c r="B139" t="str">
        <f t="shared" si="2"/>
        <v>06363391001</v>
      </c>
      <c r="C139" t="s">
        <v>15</v>
      </c>
      <c r="D139" t="s">
        <v>378</v>
      </c>
      <c r="E139" t="s">
        <v>17</v>
      </c>
      <c r="F139" s="1" t="s">
        <v>379</v>
      </c>
      <c r="G139" t="s">
        <v>380</v>
      </c>
      <c r="H139">
        <v>300</v>
      </c>
      <c r="I139" s="2">
        <v>42429</v>
      </c>
      <c r="J139" s="2">
        <v>42536</v>
      </c>
      <c r="K139">
        <v>300</v>
      </c>
    </row>
    <row r="140" spans="1:11" ht="90" x14ac:dyDescent="0.25">
      <c r="A140" t="str">
        <f>"ZDB1895366"</f>
        <v>ZDB1895366</v>
      </c>
      <c r="B140" t="str">
        <f t="shared" si="2"/>
        <v>06363391001</v>
      </c>
      <c r="C140" t="s">
        <v>15</v>
      </c>
      <c r="D140" t="s">
        <v>378</v>
      </c>
      <c r="E140" t="s">
        <v>17</v>
      </c>
      <c r="F140" s="1" t="s">
        <v>379</v>
      </c>
      <c r="G140" t="s">
        <v>380</v>
      </c>
      <c r="H140">
        <v>300</v>
      </c>
      <c r="I140" s="2">
        <v>42429</v>
      </c>
      <c r="J140" s="2">
        <v>42551</v>
      </c>
      <c r="K140">
        <v>300</v>
      </c>
    </row>
    <row r="141" spans="1:11" ht="90" x14ac:dyDescent="0.25">
      <c r="A141" t="str">
        <f>"Z9019CA05B"</f>
        <v>Z9019CA05B</v>
      </c>
      <c r="B141" t="str">
        <f t="shared" si="2"/>
        <v>06363391001</v>
      </c>
      <c r="C141" t="s">
        <v>15</v>
      </c>
      <c r="D141" t="s">
        <v>381</v>
      </c>
      <c r="E141" t="s">
        <v>17</v>
      </c>
      <c r="F141" s="1" t="s">
        <v>379</v>
      </c>
      <c r="G141" t="s">
        <v>380</v>
      </c>
      <c r="H141">
        <v>300</v>
      </c>
      <c r="I141" s="2">
        <v>42499</v>
      </c>
      <c r="J141" s="2">
        <v>42499</v>
      </c>
      <c r="K141">
        <v>300</v>
      </c>
    </row>
    <row r="142" spans="1:11" ht="90" x14ac:dyDescent="0.25">
      <c r="A142" t="str">
        <f>"6730095A14"</f>
        <v>6730095A14</v>
      </c>
      <c r="B142" t="str">
        <f t="shared" si="2"/>
        <v>06363391001</v>
      </c>
      <c r="C142" t="s">
        <v>15</v>
      </c>
      <c r="D142" t="s">
        <v>382</v>
      </c>
      <c r="E142" t="s">
        <v>40</v>
      </c>
      <c r="F142" s="1" t="s">
        <v>383</v>
      </c>
      <c r="G142" t="s">
        <v>384</v>
      </c>
      <c r="H142">
        <v>377.04</v>
      </c>
      <c r="I142" s="2">
        <v>42542</v>
      </c>
      <c r="J142" s="2">
        <v>42570</v>
      </c>
      <c r="K142">
        <v>377.04</v>
      </c>
    </row>
    <row r="143" spans="1:11" ht="105" x14ac:dyDescent="0.25">
      <c r="A143" t="str">
        <f>"6657841034"</f>
        <v>6657841034</v>
      </c>
      <c r="B143" t="str">
        <f t="shared" si="2"/>
        <v>06363391001</v>
      </c>
      <c r="C143" t="s">
        <v>15</v>
      </c>
      <c r="D143" t="s">
        <v>385</v>
      </c>
      <c r="E143" t="s">
        <v>186</v>
      </c>
      <c r="F143" s="1" t="s">
        <v>386</v>
      </c>
      <c r="G143" t="s">
        <v>100</v>
      </c>
      <c r="H143">
        <v>163631.44</v>
      </c>
      <c r="I143" s="2">
        <v>42669</v>
      </c>
      <c r="J143" s="2">
        <v>43033</v>
      </c>
      <c r="K143">
        <v>0</v>
      </c>
    </row>
    <row r="144" spans="1:11" ht="90" x14ac:dyDescent="0.25">
      <c r="A144" t="str">
        <f>"ZBA1A83ABB"</f>
        <v>ZBA1A83ABB</v>
      </c>
      <c r="B144" t="str">
        <f t="shared" si="2"/>
        <v>06363391001</v>
      </c>
      <c r="C144" t="s">
        <v>15</v>
      </c>
      <c r="D144" t="s">
        <v>387</v>
      </c>
      <c r="E144" t="s">
        <v>17</v>
      </c>
      <c r="F144" s="1" t="s">
        <v>379</v>
      </c>
      <c r="G144" t="s">
        <v>380</v>
      </c>
      <c r="H144">
        <v>300</v>
      </c>
      <c r="I144" s="2">
        <v>42556</v>
      </c>
      <c r="J144" s="2">
        <v>42643</v>
      </c>
      <c r="K144">
        <v>300</v>
      </c>
    </row>
    <row r="145" spans="1:11" ht="90" x14ac:dyDescent="0.25">
      <c r="A145" t="str">
        <f>"Z471A13CC6"</f>
        <v>Z471A13CC6</v>
      </c>
      <c r="B145" t="str">
        <f t="shared" si="2"/>
        <v>06363391001</v>
      </c>
      <c r="C145" t="s">
        <v>15</v>
      </c>
      <c r="D145" t="s">
        <v>388</v>
      </c>
      <c r="E145" t="s">
        <v>17</v>
      </c>
      <c r="F145" s="1" t="s">
        <v>389</v>
      </c>
      <c r="G145" t="s">
        <v>390</v>
      </c>
      <c r="H145">
        <v>442.28</v>
      </c>
      <c r="I145" s="2">
        <v>42528</v>
      </c>
      <c r="J145" s="2">
        <v>42892</v>
      </c>
      <c r="K145">
        <v>442.28</v>
      </c>
    </row>
    <row r="146" spans="1:11" ht="90" x14ac:dyDescent="0.25">
      <c r="A146" t="str">
        <f>"673766403A"</f>
        <v>673766403A</v>
      </c>
      <c r="B146" t="str">
        <f t="shared" si="2"/>
        <v>06363391001</v>
      </c>
      <c r="C146" t="s">
        <v>15</v>
      </c>
      <c r="D146" t="s">
        <v>391</v>
      </c>
      <c r="E146" t="s">
        <v>40</v>
      </c>
      <c r="F146" s="1" t="s">
        <v>392</v>
      </c>
      <c r="G146" t="s">
        <v>393</v>
      </c>
      <c r="H146">
        <v>883031.1</v>
      </c>
      <c r="I146" s="2">
        <v>42555</v>
      </c>
      <c r="J146" s="2">
        <v>42613</v>
      </c>
      <c r="K146">
        <v>752627.68</v>
      </c>
    </row>
    <row r="147" spans="1:11" ht="105" x14ac:dyDescent="0.25">
      <c r="A147" t="str">
        <f>"ZB71A875BB"</f>
        <v>ZB71A875BB</v>
      </c>
      <c r="B147" t="str">
        <f t="shared" si="2"/>
        <v>06363391001</v>
      </c>
      <c r="C147" t="s">
        <v>15</v>
      </c>
      <c r="D147" t="s">
        <v>394</v>
      </c>
      <c r="E147" t="s">
        <v>17</v>
      </c>
      <c r="F147" s="1" t="s">
        <v>129</v>
      </c>
      <c r="G147" t="s">
        <v>130</v>
      </c>
      <c r="H147">
        <v>990</v>
      </c>
      <c r="I147" s="2">
        <v>42557</v>
      </c>
      <c r="J147" s="2">
        <v>42558</v>
      </c>
      <c r="K147">
        <v>250</v>
      </c>
    </row>
    <row r="148" spans="1:11" ht="120" x14ac:dyDescent="0.25">
      <c r="A148" t="str">
        <f>"Z791A8AAA2"</f>
        <v>Z791A8AAA2</v>
      </c>
      <c r="B148" t="str">
        <f t="shared" si="2"/>
        <v>06363391001</v>
      </c>
      <c r="C148" t="s">
        <v>15</v>
      </c>
      <c r="D148" t="s">
        <v>395</v>
      </c>
      <c r="E148" t="s">
        <v>17</v>
      </c>
      <c r="F148" s="1" t="s">
        <v>88</v>
      </c>
      <c r="G148" t="s">
        <v>89</v>
      </c>
      <c r="H148">
        <v>246.5</v>
      </c>
      <c r="I148" s="2">
        <v>42558</v>
      </c>
      <c r="J148" s="2">
        <v>42590</v>
      </c>
      <c r="K148">
        <v>246.5</v>
      </c>
    </row>
    <row r="149" spans="1:11" ht="75" x14ac:dyDescent="0.25">
      <c r="A149" t="str">
        <f>"ZE91A829FC"</f>
        <v>ZE91A829FC</v>
      </c>
      <c r="B149" t="str">
        <f t="shared" si="2"/>
        <v>06363391001</v>
      </c>
      <c r="C149" t="s">
        <v>15</v>
      </c>
      <c r="D149" t="s">
        <v>396</v>
      </c>
      <c r="E149" t="s">
        <v>17</v>
      </c>
      <c r="F149" s="1" t="s">
        <v>397</v>
      </c>
      <c r="G149" t="s">
        <v>398</v>
      </c>
      <c r="H149">
        <v>10000</v>
      </c>
      <c r="I149" s="2">
        <v>42628</v>
      </c>
      <c r="J149" s="2">
        <v>42673</v>
      </c>
      <c r="K149">
        <v>10000</v>
      </c>
    </row>
    <row r="150" spans="1:11" ht="409.5" x14ac:dyDescent="0.25">
      <c r="A150" t="str">
        <f>"Z911A9733C"</f>
        <v>Z911A9733C</v>
      </c>
      <c r="B150" t="str">
        <f t="shared" si="2"/>
        <v>06363391001</v>
      </c>
      <c r="C150" t="s">
        <v>15</v>
      </c>
      <c r="D150" t="s">
        <v>399</v>
      </c>
      <c r="E150" t="s">
        <v>17</v>
      </c>
      <c r="F150" s="1" t="s">
        <v>400</v>
      </c>
      <c r="G150" t="s">
        <v>401</v>
      </c>
      <c r="H150">
        <v>6282</v>
      </c>
      <c r="I150" s="2">
        <v>42566</v>
      </c>
      <c r="J150" s="2">
        <v>42567</v>
      </c>
      <c r="K150">
        <v>6282</v>
      </c>
    </row>
    <row r="151" spans="1:11" ht="135" x14ac:dyDescent="0.25">
      <c r="A151" t="str">
        <f>"Z4E1AA8751"</f>
        <v>Z4E1AA8751</v>
      </c>
      <c r="B151" t="str">
        <f t="shared" si="2"/>
        <v>06363391001</v>
      </c>
      <c r="C151" t="s">
        <v>15</v>
      </c>
      <c r="D151" t="s">
        <v>402</v>
      </c>
      <c r="E151" t="s">
        <v>17</v>
      </c>
      <c r="F151" s="1" t="s">
        <v>403</v>
      </c>
      <c r="G151" t="s">
        <v>404</v>
      </c>
      <c r="H151">
        <v>240</v>
      </c>
      <c r="I151" s="2">
        <v>42566</v>
      </c>
      <c r="J151" s="2">
        <v>42570</v>
      </c>
      <c r="K151">
        <v>240</v>
      </c>
    </row>
    <row r="152" spans="1:11" ht="135" x14ac:dyDescent="0.25">
      <c r="A152" t="str">
        <f>"6561067BC2"</f>
        <v>6561067BC2</v>
      </c>
      <c r="B152" t="str">
        <f t="shared" si="2"/>
        <v>06363391001</v>
      </c>
      <c r="C152" t="s">
        <v>15</v>
      </c>
      <c r="D152" t="s">
        <v>233</v>
      </c>
      <c r="E152" t="s">
        <v>40</v>
      </c>
      <c r="F152" s="1" t="s">
        <v>212</v>
      </c>
      <c r="G152" t="s">
        <v>213</v>
      </c>
      <c r="H152">
        <v>16433.28</v>
      </c>
      <c r="I152" s="2">
        <v>42555</v>
      </c>
      <c r="J152" s="2">
        <v>44016</v>
      </c>
      <c r="K152">
        <v>9661.92</v>
      </c>
    </row>
    <row r="153" spans="1:11" ht="135" x14ac:dyDescent="0.25">
      <c r="A153" t="str">
        <f>"67654008B0"</f>
        <v>67654008B0</v>
      </c>
      <c r="B153" t="str">
        <f t="shared" si="2"/>
        <v>06363391001</v>
      </c>
      <c r="C153" t="s">
        <v>15</v>
      </c>
      <c r="D153" t="s">
        <v>405</v>
      </c>
      <c r="E153" t="s">
        <v>40</v>
      </c>
      <c r="F153" s="1" t="s">
        <v>135</v>
      </c>
      <c r="G153" t="s">
        <v>136</v>
      </c>
      <c r="H153">
        <v>510</v>
      </c>
      <c r="I153" s="2">
        <v>42577</v>
      </c>
      <c r="J153" s="2">
        <v>42612</v>
      </c>
      <c r="K153">
        <v>510</v>
      </c>
    </row>
    <row r="154" spans="1:11" ht="105" x14ac:dyDescent="0.25">
      <c r="A154" t="str">
        <f>"Z171AADF71"</f>
        <v>Z171AADF71</v>
      </c>
      <c r="B154" t="str">
        <f t="shared" si="2"/>
        <v>06363391001</v>
      </c>
      <c r="C154" t="s">
        <v>15</v>
      </c>
      <c r="D154" t="s">
        <v>406</v>
      </c>
      <c r="E154" t="s">
        <v>17</v>
      </c>
      <c r="F154" s="1" t="s">
        <v>407</v>
      </c>
      <c r="G154" t="s">
        <v>408</v>
      </c>
      <c r="H154">
        <v>320</v>
      </c>
      <c r="I154" s="2">
        <v>42578</v>
      </c>
      <c r="J154" s="2">
        <v>42590</v>
      </c>
      <c r="K154">
        <v>320</v>
      </c>
    </row>
    <row r="155" spans="1:11" ht="135" x14ac:dyDescent="0.25">
      <c r="A155" t="str">
        <f>"6575138785"</f>
        <v>6575138785</v>
      </c>
      <c r="B155" t="str">
        <f t="shared" si="2"/>
        <v>06363391001</v>
      </c>
      <c r="C155" t="s">
        <v>15</v>
      </c>
      <c r="D155" t="s">
        <v>233</v>
      </c>
      <c r="E155" t="s">
        <v>40</v>
      </c>
      <c r="F155" s="1" t="s">
        <v>212</v>
      </c>
      <c r="G155" t="s">
        <v>213</v>
      </c>
      <c r="H155">
        <v>14979.84</v>
      </c>
      <c r="I155" s="2">
        <v>42571</v>
      </c>
      <c r="J155" s="2">
        <v>44032</v>
      </c>
      <c r="K155">
        <v>9193.64</v>
      </c>
    </row>
    <row r="156" spans="1:11" ht="409.5" x14ac:dyDescent="0.25">
      <c r="A156" t="str">
        <f>"Z941A84223"</f>
        <v>Z941A84223</v>
      </c>
      <c r="B156" t="str">
        <f t="shared" si="2"/>
        <v>06363391001</v>
      </c>
      <c r="C156" t="s">
        <v>15</v>
      </c>
      <c r="D156" t="s">
        <v>409</v>
      </c>
      <c r="E156" t="s">
        <v>30</v>
      </c>
      <c r="F156" s="1" t="s">
        <v>410</v>
      </c>
      <c r="G156" t="s">
        <v>411</v>
      </c>
      <c r="H156">
        <v>2500</v>
      </c>
      <c r="I156" s="2">
        <v>42573</v>
      </c>
      <c r="J156" s="2">
        <v>42608</v>
      </c>
      <c r="K156">
        <v>2500</v>
      </c>
    </row>
    <row r="157" spans="1:11" ht="120" x14ac:dyDescent="0.25">
      <c r="A157" t="str">
        <f>"ZDF1AC1736"</f>
        <v>ZDF1AC1736</v>
      </c>
      <c r="B157" t="str">
        <f t="shared" si="2"/>
        <v>06363391001</v>
      </c>
      <c r="C157" t="s">
        <v>15</v>
      </c>
      <c r="D157" t="s">
        <v>412</v>
      </c>
      <c r="E157" t="s">
        <v>17</v>
      </c>
      <c r="F157" s="1" t="s">
        <v>413</v>
      </c>
      <c r="G157" t="s">
        <v>414</v>
      </c>
      <c r="H157">
        <v>0</v>
      </c>
      <c r="I157" s="2">
        <v>42370</v>
      </c>
      <c r="J157" s="2">
        <v>43100</v>
      </c>
      <c r="K157">
        <v>2110.4899999999998</v>
      </c>
    </row>
    <row r="158" spans="1:11" ht="240" x14ac:dyDescent="0.25">
      <c r="A158" t="str">
        <f>"Z6D1A81A36"</f>
        <v>Z6D1A81A36</v>
      </c>
      <c r="B158" t="str">
        <f t="shared" si="2"/>
        <v>06363391001</v>
      </c>
      <c r="C158" t="s">
        <v>15</v>
      </c>
      <c r="D158" t="s">
        <v>415</v>
      </c>
      <c r="E158" t="s">
        <v>30</v>
      </c>
      <c r="F158" s="1" t="s">
        <v>416</v>
      </c>
      <c r="G158" t="s">
        <v>417</v>
      </c>
      <c r="H158">
        <v>11150</v>
      </c>
      <c r="I158" s="2">
        <v>42579</v>
      </c>
      <c r="J158" s="2">
        <v>42590</v>
      </c>
      <c r="K158">
        <v>11150</v>
      </c>
    </row>
    <row r="159" spans="1:11" ht="409.5" x14ac:dyDescent="0.25">
      <c r="A159" t="str">
        <f>"Z571AC17D0"</f>
        <v>Z571AC17D0</v>
      </c>
      <c r="B159" t="str">
        <f t="shared" si="2"/>
        <v>06363391001</v>
      </c>
      <c r="C159" t="s">
        <v>15</v>
      </c>
      <c r="D159" t="s">
        <v>418</v>
      </c>
      <c r="E159" t="s">
        <v>419</v>
      </c>
      <c r="F159" s="1" t="s">
        <v>420</v>
      </c>
      <c r="G159" t="s">
        <v>421</v>
      </c>
      <c r="H159">
        <v>19000</v>
      </c>
      <c r="I159" s="2">
        <v>42577</v>
      </c>
      <c r="K159">
        <v>0</v>
      </c>
    </row>
    <row r="160" spans="1:11" ht="409.5" x14ac:dyDescent="0.25">
      <c r="A160" t="str">
        <f>"ZA21A81AC5"</f>
        <v>ZA21A81AC5</v>
      </c>
      <c r="B160" t="str">
        <f t="shared" si="2"/>
        <v>06363391001</v>
      </c>
      <c r="C160" t="s">
        <v>15</v>
      </c>
      <c r="D160" t="s">
        <v>422</v>
      </c>
      <c r="E160" t="s">
        <v>30</v>
      </c>
      <c r="F160" s="1" t="s">
        <v>423</v>
      </c>
      <c r="G160" t="s">
        <v>242</v>
      </c>
      <c r="H160">
        <v>4560</v>
      </c>
      <c r="I160" s="2">
        <v>42579</v>
      </c>
      <c r="J160" s="2">
        <v>42594</v>
      </c>
      <c r="K160">
        <v>4560</v>
      </c>
    </row>
    <row r="161" spans="1:11" ht="405" x14ac:dyDescent="0.25">
      <c r="A161" t="str">
        <f>"Z381A81AA2"</f>
        <v>Z381A81AA2</v>
      </c>
      <c r="B161" t="str">
        <f t="shared" si="2"/>
        <v>06363391001</v>
      </c>
      <c r="C161" t="s">
        <v>15</v>
      </c>
      <c r="D161" t="s">
        <v>424</v>
      </c>
      <c r="E161" t="s">
        <v>30</v>
      </c>
      <c r="F161" s="1" t="s">
        <v>425</v>
      </c>
      <c r="G161" t="s">
        <v>426</v>
      </c>
      <c r="H161">
        <v>11945</v>
      </c>
      <c r="I161" s="2">
        <v>42579</v>
      </c>
      <c r="J161" s="2">
        <v>42594</v>
      </c>
      <c r="K161">
        <v>11945</v>
      </c>
    </row>
    <row r="162" spans="1:11" ht="105" x14ac:dyDescent="0.25">
      <c r="A162" t="str">
        <f>"ZB31A8B26C"</f>
        <v>ZB31A8B26C</v>
      </c>
      <c r="B162" t="str">
        <f t="shared" si="2"/>
        <v>06363391001</v>
      </c>
      <c r="C162" t="s">
        <v>15</v>
      </c>
      <c r="D162" t="s">
        <v>427</v>
      </c>
      <c r="E162" t="s">
        <v>30</v>
      </c>
      <c r="F162" s="1" t="s">
        <v>428</v>
      </c>
      <c r="G162" t="s">
        <v>429</v>
      </c>
      <c r="H162">
        <v>37000</v>
      </c>
      <c r="I162" s="2">
        <v>42579</v>
      </c>
      <c r="J162" s="2">
        <v>43674</v>
      </c>
      <c r="K162">
        <v>37000</v>
      </c>
    </row>
    <row r="163" spans="1:11" ht="409.5" x14ac:dyDescent="0.25">
      <c r="A163" t="str">
        <f>"Z481A85AC1"</f>
        <v>Z481A85AC1</v>
      </c>
      <c r="B163" t="str">
        <f t="shared" si="2"/>
        <v>06363391001</v>
      </c>
      <c r="C163" t="s">
        <v>15</v>
      </c>
      <c r="D163" t="s">
        <v>430</v>
      </c>
      <c r="E163" t="s">
        <v>30</v>
      </c>
      <c r="F163" s="1" t="s">
        <v>431</v>
      </c>
      <c r="G163" t="s">
        <v>266</v>
      </c>
      <c r="H163">
        <v>639</v>
      </c>
      <c r="I163" s="2">
        <v>42579</v>
      </c>
      <c r="J163" s="2">
        <v>42590</v>
      </c>
      <c r="K163">
        <v>639</v>
      </c>
    </row>
    <row r="164" spans="1:11" ht="120" x14ac:dyDescent="0.25">
      <c r="A164" t="str">
        <f>"ZB81AB9901"</f>
        <v>ZB81AB9901</v>
      </c>
      <c r="B164" t="str">
        <f t="shared" si="2"/>
        <v>06363391001</v>
      </c>
      <c r="C164" t="s">
        <v>15</v>
      </c>
      <c r="D164" t="s">
        <v>432</v>
      </c>
      <c r="E164" t="s">
        <v>17</v>
      </c>
      <c r="F164" s="1" t="s">
        <v>88</v>
      </c>
      <c r="G164" t="s">
        <v>89</v>
      </c>
      <c r="H164">
        <v>4285</v>
      </c>
      <c r="I164" s="2">
        <v>42614</v>
      </c>
      <c r="J164" s="2">
        <v>42978</v>
      </c>
      <c r="K164">
        <v>4284.95</v>
      </c>
    </row>
    <row r="165" spans="1:11" ht="135" x14ac:dyDescent="0.25">
      <c r="A165" t="str">
        <f>"6616588525"</f>
        <v>6616588525</v>
      </c>
      <c r="B165" t="str">
        <f t="shared" si="2"/>
        <v>06363391001</v>
      </c>
      <c r="C165" t="s">
        <v>15</v>
      </c>
      <c r="D165" t="s">
        <v>233</v>
      </c>
      <c r="E165" t="s">
        <v>40</v>
      </c>
      <c r="F165" s="1" t="s">
        <v>212</v>
      </c>
      <c r="G165" t="s">
        <v>213</v>
      </c>
      <c r="H165">
        <v>16433.28</v>
      </c>
      <c r="I165" s="2">
        <v>42578</v>
      </c>
      <c r="J165" s="2">
        <v>44039</v>
      </c>
      <c r="K165">
        <v>9619.2000000000007</v>
      </c>
    </row>
    <row r="166" spans="1:11" ht="135" x14ac:dyDescent="0.25">
      <c r="A166" t="str">
        <f>"6680892E79"</f>
        <v>6680892E79</v>
      </c>
      <c r="B166" t="str">
        <f t="shared" si="2"/>
        <v>06363391001</v>
      </c>
      <c r="C166" t="s">
        <v>15</v>
      </c>
      <c r="D166" t="s">
        <v>433</v>
      </c>
      <c r="E166" t="s">
        <v>40</v>
      </c>
      <c r="F166" s="1" t="s">
        <v>212</v>
      </c>
      <c r="G166" t="s">
        <v>213</v>
      </c>
      <c r="H166">
        <v>15190.08</v>
      </c>
      <c r="I166" s="2">
        <v>42592</v>
      </c>
      <c r="J166" s="2">
        <v>44053</v>
      </c>
      <c r="K166">
        <v>8472.9699999999993</v>
      </c>
    </row>
    <row r="167" spans="1:11" ht="135" x14ac:dyDescent="0.25">
      <c r="A167" t="str">
        <f>"65751311C0"</f>
        <v>65751311C0</v>
      </c>
      <c r="B167" t="str">
        <f t="shared" si="2"/>
        <v>06363391001</v>
      </c>
      <c r="C167" t="s">
        <v>15</v>
      </c>
      <c r="D167" t="s">
        <v>233</v>
      </c>
      <c r="E167" t="s">
        <v>40</v>
      </c>
      <c r="F167" s="1" t="s">
        <v>212</v>
      </c>
      <c r="G167" t="s">
        <v>213</v>
      </c>
      <c r="H167">
        <v>14979.84</v>
      </c>
      <c r="I167" s="2">
        <v>44055</v>
      </c>
      <c r="J167" s="2">
        <v>44055</v>
      </c>
      <c r="K167">
        <v>8030.97</v>
      </c>
    </row>
    <row r="168" spans="1:11" ht="90" x14ac:dyDescent="0.25">
      <c r="A168" t="str">
        <f>"ZB31AD3C47"</f>
        <v>ZB31AD3C47</v>
      </c>
      <c r="B168" t="str">
        <f t="shared" si="2"/>
        <v>06363391001</v>
      </c>
      <c r="C168" t="s">
        <v>15</v>
      </c>
      <c r="D168" t="s">
        <v>434</v>
      </c>
      <c r="E168" t="s">
        <v>17</v>
      </c>
      <c r="F168" s="1" t="s">
        <v>435</v>
      </c>
      <c r="G168" t="s">
        <v>436</v>
      </c>
      <c r="H168">
        <v>1070</v>
      </c>
      <c r="I168" s="2">
        <v>42587</v>
      </c>
      <c r="J168" s="2">
        <v>42587</v>
      </c>
      <c r="K168">
        <v>1070</v>
      </c>
    </row>
    <row r="169" spans="1:11" ht="90" x14ac:dyDescent="0.25">
      <c r="A169" t="str">
        <f>"ZB21AD46CB"</f>
        <v>ZB21AD46CB</v>
      </c>
      <c r="B169" t="str">
        <f t="shared" si="2"/>
        <v>06363391001</v>
      </c>
      <c r="C169" t="s">
        <v>15</v>
      </c>
      <c r="D169" t="s">
        <v>437</v>
      </c>
      <c r="E169" t="s">
        <v>17</v>
      </c>
      <c r="F169" s="1" t="s">
        <v>438</v>
      </c>
      <c r="G169" t="s">
        <v>439</v>
      </c>
      <c r="H169">
        <v>20</v>
      </c>
      <c r="I169" s="2">
        <v>42584</v>
      </c>
      <c r="J169" s="2">
        <v>42590</v>
      </c>
      <c r="K169">
        <v>0</v>
      </c>
    </row>
    <row r="170" spans="1:11" ht="105" x14ac:dyDescent="0.25">
      <c r="A170" t="str">
        <f>"Z731AD8636"</f>
        <v>Z731AD8636</v>
      </c>
      <c r="B170" t="str">
        <f t="shared" si="2"/>
        <v>06363391001</v>
      </c>
      <c r="C170" t="s">
        <v>15</v>
      </c>
      <c r="D170" t="s">
        <v>440</v>
      </c>
      <c r="E170" t="s">
        <v>17</v>
      </c>
      <c r="F170" s="1" t="s">
        <v>27</v>
      </c>
      <c r="G170" t="s">
        <v>28</v>
      </c>
      <c r="H170">
        <v>744.1</v>
      </c>
      <c r="I170" s="2">
        <v>42585</v>
      </c>
      <c r="J170" s="2">
        <v>42601</v>
      </c>
      <c r="K170">
        <v>744.1</v>
      </c>
    </row>
    <row r="171" spans="1:11" ht="75" x14ac:dyDescent="0.25">
      <c r="A171" t="str">
        <f>"Z7C1AEA9E0"</f>
        <v>Z7C1AEA9E0</v>
      </c>
      <c r="B171" t="str">
        <f t="shared" si="2"/>
        <v>06363391001</v>
      </c>
      <c r="C171" t="s">
        <v>15</v>
      </c>
      <c r="D171" t="s">
        <v>441</v>
      </c>
      <c r="E171" t="s">
        <v>17</v>
      </c>
      <c r="F171" s="1" t="s">
        <v>442</v>
      </c>
      <c r="G171" t="s">
        <v>72</v>
      </c>
      <c r="H171">
        <v>3050</v>
      </c>
      <c r="I171" s="2">
        <v>42593</v>
      </c>
      <c r="J171" s="2">
        <v>42613</v>
      </c>
      <c r="K171">
        <v>2200</v>
      </c>
    </row>
    <row r="172" spans="1:11" ht="90" x14ac:dyDescent="0.25">
      <c r="A172" t="str">
        <f>"Z031AE1B73"</f>
        <v>Z031AE1B73</v>
      </c>
      <c r="B172" t="str">
        <f t="shared" si="2"/>
        <v>06363391001</v>
      </c>
      <c r="C172" t="s">
        <v>15</v>
      </c>
      <c r="D172" t="s">
        <v>443</v>
      </c>
      <c r="E172" t="s">
        <v>17</v>
      </c>
      <c r="F172" s="1" t="s">
        <v>444</v>
      </c>
      <c r="G172" t="s">
        <v>445</v>
      </c>
      <c r="H172">
        <v>1679.4</v>
      </c>
      <c r="I172" s="2">
        <v>42587</v>
      </c>
      <c r="J172" s="2">
        <v>42604</v>
      </c>
      <c r="K172">
        <v>1679.4</v>
      </c>
    </row>
    <row r="173" spans="1:11" ht="90" x14ac:dyDescent="0.25">
      <c r="A173" t="str">
        <f>"Z9019CA05B"</f>
        <v>Z9019CA05B</v>
      </c>
      <c r="B173" t="str">
        <f t="shared" si="2"/>
        <v>06363391001</v>
      </c>
      <c r="C173" t="s">
        <v>15</v>
      </c>
      <c r="D173" t="s">
        <v>446</v>
      </c>
      <c r="E173" t="s">
        <v>17</v>
      </c>
      <c r="F173" s="1" t="s">
        <v>379</v>
      </c>
      <c r="G173" t="s">
        <v>380</v>
      </c>
      <c r="H173">
        <v>300</v>
      </c>
      <c r="I173" s="2">
        <v>42499</v>
      </c>
      <c r="J173" s="2">
        <v>42735</v>
      </c>
      <c r="K173">
        <v>0</v>
      </c>
    </row>
    <row r="174" spans="1:11" ht="409.5" x14ac:dyDescent="0.25">
      <c r="A174" t="str">
        <f>"ZA31AD6BEE"</f>
        <v>ZA31AD6BEE</v>
      </c>
      <c r="B174" t="str">
        <f t="shared" si="2"/>
        <v>06363391001</v>
      </c>
      <c r="C174" t="s">
        <v>15</v>
      </c>
      <c r="D174" t="s">
        <v>447</v>
      </c>
      <c r="E174" t="s">
        <v>30</v>
      </c>
      <c r="F174" s="1" t="s">
        <v>448</v>
      </c>
      <c r="G174" t="s">
        <v>449</v>
      </c>
      <c r="H174">
        <v>6150</v>
      </c>
      <c r="I174" s="2">
        <v>42625</v>
      </c>
      <c r="J174" s="2">
        <v>42640</v>
      </c>
      <c r="K174">
        <v>6150</v>
      </c>
    </row>
    <row r="175" spans="1:11" ht="75" x14ac:dyDescent="0.25">
      <c r="A175" t="str">
        <f>"6798852E25"</f>
        <v>6798852E25</v>
      </c>
      <c r="B175" t="str">
        <f t="shared" si="2"/>
        <v>06363391001</v>
      </c>
      <c r="C175" t="s">
        <v>15</v>
      </c>
      <c r="D175" t="s">
        <v>450</v>
      </c>
      <c r="E175" t="s">
        <v>40</v>
      </c>
      <c r="F175" s="1" t="s">
        <v>225</v>
      </c>
      <c r="G175" t="s">
        <v>226</v>
      </c>
      <c r="H175">
        <v>0</v>
      </c>
      <c r="I175" s="2">
        <v>42705</v>
      </c>
      <c r="J175" s="2">
        <v>43069</v>
      </c>
      <c r="K175">
        <v>55635.75</v>
      </c>
    </row>
    <row r="176" spans="1:11" ht="90" x14ac:dyDescent="0.25">
      <c r="A176" t="str">
        <f>"ZB21B2F3D9"</f>
        <v>ZB21B2F3D9</v>
      </c>
      <c r="B176" t="str">
        <f t="shared" si="2"/>
        <v>06363391001</v>
      </c>
      <c r="C176" t="s">
        <v>15</v>
      </c>
      <c r="D176" t="s">
        <v>451</v>
      </c>
      <c r="E176" t="s">
        <v>17</v>
      </c>
      <c r="F176" s="1" t="s">
        <v>452</v>
      </c>
      <c r="G176" t="s">
        <v>453</v>
      </c>
      <c r="H176">
        <v>260</v>
      </c>
      <c r="I176" s="2">
        <v>42370</v>
      </c>
      <c r="J176" s="2">
        <v>43100</v>
      </c>
      <c r="K176">
        <v>260</v>
      </c>
    </row>
    <row r="177" spans="1:11" ht="409.5" x14ac:dyDescent="0.25">
      <c r="A177" t="str">
        <f>"Z761A9A2DD"</f>
        <v>Z761A9A2DD</v>
      </c>
      <c r="B177" t="str">
        <f t="shared" si="2"/>
        <v>06363391001</v>
      </c>
      <c r="C177" t="s">
        <v>15</v>
      </c>
      <c r="D177" t="s">
        <v>454</v>
      </c>
      <c r="E177" t="s">
        <v>30</v>
      </c>
      <c r="F177" s="1" t="s">
        <v>455</v>
      </c>
      <c r="G177" t="s">
        <v>266</v>
      </c>
      <c r="H177">
        <v>12371.5</v>
      </c>
      <c r="I177" s="2">
        <v>42580</v>
      </c>
      <c r="J177" s="2">
        <v>42643</v>
      </c>
      <c r="K177">
        <v>12371.5</v>
      </c>
    </row>
    <row r="178" spans="1:11" ht="90" x14ac:dyDescent="0.25">
      <c r="A178" t="str">
        <f>"Z0D1B31DA8"</f>
        <v>Z0D1B31DA8</v>
      </c>
      <c r="B178" t="str">
        <f t="shared" si="2"/>
        <v>06363391001</v>
      </c>
      <c r="C178" t="s">
        <v>15</v>
      </c>
      <c r="D178" t="s">
        <v>456</v>
      </c>
      <c r="E178" t="s">
        <v>17</v>
      </c>
      <c r="F178" s="1" t="s">
        <v>94</v>
      </c>
      <c r="G178" t="s">
        <v>95</v>
      </c>
      <c r="H178">
        <v>721</v>
      </c>
      <c r="I178" s="2">
        <v>42633</v>
      </c>
      <c r="J178" s="2">
        <v>42633</v>
      </c>
      <c r="K178">
        <v>0</v>
      </c>
    </row>
    <row r="179" spans="1:11" ht="210" x14ac:dyDescent="0.25">
      <c r="A179" t="str">
        <f>"Z321B3F19B"</f>
        <v>Z321B3F19B</v>
      </c>
      <c r="B179" t="str">
        <f t="shared" si="2"/>
        <v>06363391001</v>
      </c>
      <c r="C179" t="s">
        <v>15</v>
      </c>
      <c r="D179" t="s">
        <v>457</v>
      </c>
      <c r="E179" t="s">
        <v>17</v>
      </c>
      <c r="F179" s="1" t="s">
        <v>458</v>
      </c>
      <c r="G179" t="s">
        <v>459</v>
      </c>
      <c r="H179">
        <v>700</v>
      </c>
      <c r="I179" s="2">
        <v>42642</v>
      </c>
      <c r="J179" s="2">
        <v>42643</v>
      </c>
      <c r="K179">
        <v>700</v>
      </c>
    </row>
    <row r="180" spans="1:11" ht="409.5" x14ac:dyDescent="0.25">
      <c r="A180" t="str">
        <f>"Z3D1ADAB9F"</f>
        <v>Z3D1ADAB9F</v>
      </c>
      <c r="B180" t="str">
        <f t="shared" si="2"/>
        <v>06363391001</v>
      </c>
      <c r="C180" t="s">
        <v>15</v>
      </c>
      <c r="D180" t="s">
        <v>460</v>
      </c>
      <c r="E180" t="s">
        <v>30</v>
      </c>
      <c r="F180" s="1" t="s">
        <v>461</v>
      </c>
      <c r="G180" t="s">
        <v>462</v>
      </c>
      <c r="H180">
        <v>6950</v>
      </c>
      <c r="I180" s="2">
        <v>42641</v>
      </c>
      <c r="J180" s="2">
        <v>42653</v>
      </c>
      <c r="K180">
        <v>6950</v>
      </c>
    </row>
    <row r="181" spans="1:11" ht="75" x14ac:dyDescent="0.25">
      <c r="A181" t="str">
        <f>"Z8F1B5D297"</f>
        <v>Z8F1B5D297</v>
      </c>
      <c r="B181" t="str">
        <f t="shared" si="2"/>
        <v>06363391001</v>
      </c>
      <c r="C181" t="s">
        <v>15</v>
      </c>
      <c r="D181" t="s">
        <v>463</v>
      </c>
      <c r="E181" t="s">
        <v>17</v>
      </c>
      <c r="F181" s="1" t="s">
        <v>464</v>
      </c>
      <c r="G181" t="s">
        <v>465</v>
      </c>
      <c r="H181">
        <v>250</v>
      </c>
      <c r="I181" s="2">
        <v>42644</v>
      </c>
      <c r="J181" s="2">
        <v>42674</v>
      </c>
      <c r="K181">
        <v>250</v>
      </c>
    </row>
    <row r="182" spans="1:11" ht="135" x14ac:dyDescent="0.25">
      <c r="A182" t="str">
        <f>"6558362388"</f>
        <v>6558362388</v>
      </c>
      <c r="B182" t="str">
        <f t="shared" si="2"/>
        <v>06363391001</v>
      </c>
      <c r="C182" t="s">
        <v>15</v>
      </c>
      <c r="D182" t="s">
        <v>466</v>
      </c>
      <c r="E182" t="s">
        <v>40</v>
      </c>
      <c r="F182" s="1" t="s">
        <v>212</v>
      </c>
      <c r="G182" t="s">
        <v>213</v>
      </c>
      <c r="H182">
        <v>15872.96</v>
      </c>
      <c r="I182" s="2">
        <v>42535</v>
      </c>
      <c r="J182" s="2">
        <v>43996</v>
      </c>
      <c r="K182">
        <v>9529.3799999999992</v>
      </c>
    </row>
    <row r="183" spans="1:11" ht="409.5" x14ac:dyDescent="0.25">
      <c r="A183" t="str">
        <f>"Z8C1B71F24"</f>
        <v>Z8C1B71F24</v>
      </c>
      <c r="B183" t="str">
        <f t="shared" si="2"/>
        <v>06363391001</v>
      </c>
      <c r="C183" t="s">
        <v>15</v>
      </c>
      <c r="D183" t="s">
        <v>467</v>
      </c>
      <c r="E183" t="s">
        <v>17</v>
      </c>
      <c r="F183" s="1" t="s">
        <v>468</v>
      </c>
      <c r="G183" t="s">
        <v>469</v>
      </c>
      <c r="H183">
        <v>750</v>
      </c>
      <c r="I183" s="2">
        <v>42649</v>
      </c>
      <c r="J183" s="2">
        <v>42654</v>
      </c>
      <c r="K183">
        <v>360</v>
      </c>
    </row>
    <row r="184" spans="1:11" ht="105" x14ac:dyDescent="0.25">
      <c r="A184" t="str">
        <f>"Z361BA8FF4"</f>
        <v>Z361BA8FF4</v>
      </c>
      <c r="B184" t="str">
        <f t="shared" si="2"/>
        <v>06363391001</v>
      </c>
      <c r="C184" t="s">
        <v>15</v>
      </c>
      <c r="D184" t="s">
        <v>470</v>
      </c>
      <c r="E184" t="s">
        <v>17</v>
      </c>
      <c r="F184" s="1" t="s">
        <v>471</v>
      </c>
      <c r="G184" t="s">
        <v>472</v>
      </c>
      <c r="H184">
        <v>1745.5</v>
      </c>
      <c r="I184" s="2">
        <v>42669</v>
      </c>
      <c r="J184" s="2">
        <v>42676</v>
      </c>
      <c r="K184">
        <v>1745.5</v>
      </c>
    </row>
    <row r="185" spans="1:11" ht="285" x14ac:dyDescent="0.25">
      <c r="A185" t="str">
        <f>"Z101A72C62"</f>
        <v>Z101A72C62</v>
      </c>
      <c r="B185" t="str">
        <f t="shared" si="2"/>
        <v>06363391001</v>
      </c>
      <c r="C185" t="s">
        <v>15</v>
      </c>
      <c r="D185" t="s">
        <v>473</v>
      </c>
      <c r="E185" t="s">
        <v>17</v>
      </c>
      <c r="F185" s="1" t="s">
        <v>474</v>
      </c>
      <c r="G185" t="s">
        <v>475</v>
      </c>
      <c r="H185">
        <v>5100</v>
      </c>
      <c r="I185" s="2">
        <v>42551</v>
      </c>
      <c r="J185" s="2">
        <v>42735</v>
      </c>
      <c r="K185">
        <v>0</v>
      </c>
    </row>
    <row r="186" spans="1:11" ht="409.5" x14ac:dyDescent="0.25">
      <c r="A186" t="str">
        <f>"Z371AF8297"</f>
        <v>Z371AF8297</v>
      </c>
      <c r="B186" t="str">
        <f t="shared" si="2"/>
        <v>06363391001</v>
      </c>
      <c r="C186" t="s">
        <v>15</v>
      </c>
      <c r="D186" t="s">
        <v>476</v>
      </c>
      <c r="E186" t="s">
        <v>30</v>
      </c>
      <c r="F186" s="1" t="s">
        <v>477</v>
      </c>
      <c r="G186" t="s">
        <v>478</v>
      </c>
      <c r="H186">
        <v>6750</v>
      </c>
      <c r="I186" s="2">
        <v>42674</v>
      </c>
      <c r="J186" s="2">
        <v>42766</v>
      </c>
      <c r="K186">
        <v>0</v>
      </c>
    </row>
    <row r="187" spans="1:11" ht="120" x14ac:dyDescent="0.25">
      <c r="A187" t="str">
        <f>"Z8A1BAEE2B"</f>
        <v>Z8A1BAEE2B</v>
      </c>
      <c r="B187" t="str">
        <f t="shared" si="2"/>
        <v>06363391001</v>
      </c>
      <c r="C187" t="s">
        <v>15</v>
      </c>
      <c r="D187" t="s">
        <v>479</v>
      </c>
      <c r="E187" t="s">
        <v>17</v>
      </c>
      <c r="F187" s="1" t="s">
        <v>480</v>
      </c>
      <c r="G187" t="s">
        <v>481</v>
      </c>
      <c r="H187">
        <v>1050</v>
      </c>
      <c r="I187" s="2">
        <v>42669</v>
      </c>
      <c r="J187" s="2">
        <v>42681</v>
      </c>
      <c r="K187">
        <v>1050</v>
      </c>
    </row>
    <row r="188" spans="1:11" ht="90" x14ac:dyDescent="0.25">
      <c r="A188" t="str">
        <f>"ZF11BC8F2D"</f>
        <v>ZF11BC8F2D</v>
      </c>
      <c r="B188" t="str">
        <f t="shared" si="2"/>
        <v>06363391001</v>
      </c>
      <c r="C188" t="s">
        <v>15</v>
      </c>
      <c r="D188" t="s">
        <v>482</v>
      </c>
      <c r="E188" t="s">
        <v>17</v>
      </c>
      <c r="F188" s="1" t="s">
        <v>483</v>
      </c>
      <c r="G188" t="s">
        <v>484</v>
      </c>
      <c r="H188">
        <v>245.08</v>
      </c>
      <c r="I188" s="2">
        <v>42736</v>
      </c>
      <c r="J188" s="2">
        <v>43100</v>
      </c>
      <c r="K188">
        <v>245.08</v>
      </c>
    </row>
    <row r="189" spans="1:11" ht="90" x14ac:dyDescent="0.25">
      <c r="A189" t="str">
        <f>"ZE61BDB15F"</f>
        <v>ZE61BDB15F</v>
      </c>
      <c r="B189" t="str">
        <f t="shared" si="2"/>
        <v>06363391001</v>
      </c>
      <c r="C189" t="s">
        <v>15</v>
      </c>
      <c r="D189" t="s">
        <v>485</v>
      </c>
      <c r="E189" t="s">
        <v>17</v>
      </c>
      <c r="F189" s="1" t="s">
        <v>379</v>
      </c>
      <c r="G189" t="s">
        <v>380</v>
      </c>
      <c r="H189">
        <v>300</v>
      </c>
      <c r="I189" s="2">
        <v>42688</v>
      </c>
      <c r="J189" s="2">
        <v>42839</v>
      </c>
      <c r="K189">
        <v>300</v>
      </c>
    </row>
    <row r="190" spans="1:11" ht="165" x14ac:dyDescent="0.25">
      <c r="A190" t="str">
        <f>"Z9F1BB9696"</f>
        <v>Z9F1BB9696</v>
      </c>
      <c r="B190" t="str">
        <f t="shared" si="2"/>
        <v>06363391001</v>
      </c>
      <c r="C190" t="s">
        <v>15</v>
      </c>
      <c r="D190" t="s">
        <v>486</v>
      </c>
      <c r="E190" t="s">
        <v>17</v>
      </c>
      <c r="F190" s="1" t="s">
        <v>487</v>
      </c>
      <c r="G190" t="s">
        <v>488</v>
      </c>
      <c r="H190">
        <v>781.2</v>
      </c>
      <c r="I190" s="2">
        <v>42736</v>
      </c>
      <c r="J190" s="2">
        <v>43100</v>
      </c>
      <c r="K190">
        <v>720</v>
      </c>
    </row>
    <row r="191" spans="1:11" ht="120" x14ac:dyDescent="0.25">
      <c r="A191" t="str">
        <f>"ZA51BE63F2"</f>
        <v>ZA51BE63F2</v>
      </c>
      <c r="B191" t="str">
        <f t="shared" si="2"/>
        <v>06363391001</v>
      </c>
      <c r="C191" t="s">
        <v>15</v>
      </c>
      <c r="D191" t="s">
        <v>489</v>
      </c>
      <c r="E191" t="s">
        <v>17</v>
      </c>
      <c r="F191" s="1" t="s">
        <v>88</v>
      </c>
      <c r="G191" t="s">
        <v>89</v>
      </c>
      <c r="H191">
        <v>1700</v>
      </c>
      <c r="I191" s="2">
        <v>42736</v>
      </c>
      <c r="J191" s="2">
        <v>43100</v>
      </c>
      <c r="K191">
        <v>1700</v>
      </c>
    </row>
    <row r="192" spans="1:11" ht="135" x14ac:dyDescent="0.25">
      <c r="A192" t="str">
        <f>"ZF71BE637F"</f>
        <v>ZF71BE637F</v>
      </c>
      <c r="B192" t="str">
        <f t="shared" si="2"/>
        <v>06363391001</v>
      </c>
      <c r="C192" t="s">
        <v>15</v>
      </c>
      <c r="D192" t="s">
        <v>490</v>
      </c>
      <c r="E192" t="s">
        <v>17</v>
      </c>
      <c r="F192" s="1" t="s">
        <v>62</v>
      </c>
      <c r="G192" t="s">
        <v>63</v>
      </c>
      <c r="H192">
        <v>343</v>
      </c>
      <c r="I192" s="2">
        <v>42682</v>
      </c>
      <c r="J192" s="2">
        <v>42692</v>
      </c>
      <c r="K192">
        <v>343</v>
      </c>
    </row>
    <row r="193" spans="1:11" ht="105" x14ac:dyDescent="0.25">
      <c r="A193" t="str">
        <f>"6859379A9C"</f>
        <v>6859379A9C</v>
      </c>
      <c r="B193" t="str">
        <f t="shared" si="2"/>
        <v>06363391001</v>
      </c>
      <c r="C193" t="s">
        <v>15</v>
      </c>
      <c r="D193" t="s">
        <v>491</v>
      </c>
      <c r="E193" t="s">
        <v>40</v>
      </c>
      <c r="F193" s="1" t="s">
        <v>492</v>
      </c>
      <c r="G193" t="s">
        <v>493</v>
      </c>
      <c r="H193">
        <v>0</v>
      </c>
      <c r="I193" s="2">
        <v>42692</v>
      </c>
      <c r="J193" s="2">
        <v>42692</v>
      </c>
      <c r="K193">
        <v>4565.46</v>
      </c>
    </row>
    <row r="194" spans="1:11" ht="75" x14ac:dyDescent="0.25">
      <c r="A194" t="str">
        <f>"Z611BECB32"</f>
        <v>Z611BECB32</v>
      </c>
      <c r="B194" t="str">
        <f t="shared" si="2"/>
        <v>06363391001</v>
      </c>
      <c r="C194" t="s">
        <v>15</v>
      </c>
      <c r="D194" t="s">
        <v>494</v>
      </c>
      <c r="E194" t="s">
        <v>17</v>
      </c>
      <c r="F194" s="1" t="s">
        <v>442</v>
      </c>
      <c r="G194" t="s">
        <v>72</v>
      </c>
      <c r="H194">
        <v>4146.95</v>
      </c>
      <c r="I194" s="2">
        <v>42689</v>
      </c>
      <c r="J194" s="2">
        <v>42699</v>
      </c>
      <c r="K194">
        <v>4146.95</v>
      </c>
    </row>
    <row r="195" spans="1:11" ht="105" x14ac:dyDescent="0.25">
      <c r="A195" t="str">
        <f>"Z721BF1855"</f>
        <v>Z721BF1855</v>
      </c>
      <c r="B195" t="str">
        <f t="shared" ref="B195:B239" si="3">"06363391001"</f>
        <v>06363391001</v>
      </c>
      <c r="C195" t="s">
        <v>15</v>
      </c>
      <c r="D195" t="s">
        <v>495</v>
      </c>
      <c r="E195" t="s">
        <v>17</v>
      </c>
      <c r="F195" s="1" t="s">
        <v>496</v>
      </c>
      <c r="G195" t="s">
        <v>497</v>
      </c>
      <c r="H195">
        <v>66.88</v>
      </c>
      <c r="I195" s="2">
        <v>42689</v>
      </c>
      <c r="J195" s="2">
        <v>42704</v>
      </c>
      <c r="K195">
        <v>0</v>
      </c>
    </row>
    <row r="196" spans="1:11" ht="135" x14ac:dyDescent="0.25">
      <c r="A196" t="str">
        <f>"6827426A29"</f>
        <v>6827426A29</v>
      </c>
      <c r="B196" t="str">
        <f t="shared" si="3"/>
        <v>06363391001</v>
      </c>
      <c r="C196" t="s">
        <v>15</v>
      </c>
      <c r="D196" t="s">
        <v>498</v>
      </c>
      <c r="E196" t="s">
        <v>40</v>
      </c>
      <c r="F196" s="1" t="s">
        <v>135</v>
      </c>
      <c r="G196" t="s">
        <v>136</v>
      </c>
      <c r="H196">
        <v>1716.32</v>
      </c>
      <c r="I196" s="2">
        <v>44150</v>
      </c>
      <c r="J196" s="2">
        <v>44149</v>
      </c>
      <c r="K196">
        <v>858.16</v>
      </c>
    </row>
    <row r="197" spans="1:11" ht="90" x14ac:dyDescent="0.25">
      <c r="A197" t="str">
        <f>"68165635BC"</f>
        <v>68165635BC</v>
      </c>
      <c r="B197" t="str">
        <f t="shared" si="3"/>
        <v>06363391001</v>
      </c>
      <c r="C197" t="s">
        <v>15</v>
      </c>
      <c r="D197" t="s">
        <v>269</v>
      </c>
      <c r="E197" t="s">
        <v>40</v>
      </c>
      <c r="F197" s="1" t="s">
        <v>132</v>
      </c>
      <c r="G197" t="s">
        <v>133</v>
      </c>
      <c r="H197">
        <v>2656.32</v>
      </c>
      <c r="I197" s="2">
        <v>42692</v>
      </c>
      <c r="J197" s="2">
        <v>44152</v>
      </c>
      <c r="K197">
        <v>1328.16</v>
      </c>
    </row>
    <row r="198" spans="1:11" ht="90" x14ac:dyDescent="0.25">
      <c r="A198" t="str">
        <f>"Z2D19E9EF8"</f>
        <v>Z2D19E9EF8</v>
      </c>
      <c r="B198" t="str">
        <f t="shared" si="3"/>
        <v>06363391001</v>
      </c>
      <c r="C198" t="s">
        <v>15</v>
      </c>
      <c r="D198" t="s">
        <v>499</v>
      </c>
      <c r="E198" t="s">
        <v>17</v>
      </c>
      <c r="F198" s="1" t="s">
        <v>500</v>
      </c>
      <c r="G198" t="s">
        <v>501</v>
      </c>
      <c r="H198">
        <v>0</v>
      </c>
      <c r="I198" s="2">
        <v>42370</v>
      </c>
      <c r="J198" s="2">
        <v>43100</v>
      </c>
      <c r="K198">
        <v>300</v>
      </c>
    </row>
    <row r="199" spans="1:11" ht="75" x14ac:dyDescent="0.25">
      <c r="A199" t="str">
        <f>"Z8B1C16091"</f>
        <v>Z8B1C16091</v>
      </c>
      <c r="B199" t="str">
        <f t="shared" si="3"/>
        <v>06363391001</v>
      </c>
      <c r="C199" t="s">
        <v>15</v>
      </c>
      <c r="D199" t="s">
        <v>502</v>
      </c>
      <c r="E199" t="s">
        <v>17</v>
      </c>
      <c r="F199" s="1" t="s">
        <v>442</v>
      </c>
      <c r="G199" t="s">
        <v>72</v>
      </c>
      <c r="H199">
        <v>3590</v>
      </c>
      <c r="I199" s="2">
        <v>42720</v>
      </c>
      <c r="J199" s="2">
        <v>42720</v>
      </c>
      <c r="K199">
        <v>3590</v>
      </c>
    </row>
    <row r="200" spans="1:11" ht="90" x14ac:dyDescent="0.25">
      <c r="A200" t="str">
        <f>"Z5A1BF0EEC"</f>
        <v>Z5A1BF0EEC</v>
      </c>
      <c r="B200" t="str">
        <f t="shared" si="3"/>
        <v>06363391001</v>
      </c>
      <c r="C200" t="s">
        <v>15</v>
      </c>
      <c r="D200" t="s">
        <v>503</v>
      </c>
      <c r="E200" t="s">
        <v>17</v>
      </c>
      <c r="F200" s="1" t="s">
        <v>504</v>
      </c>
      <c r="G200" t="s">
        <v>505</v>
      </c>
      <c r="H200">
        <v>280</v>
      </c>
      <c r="I200" s="2">
        <v>42692</v>
      </c>
      <c r="J200" s="2">
        <v>42702</v>
      </c>
      <c r="K200">
        <v>280</v>
      </c>
    </row>
    <row r="201" spans="1:11" ht="75" x14ac:dyDescent="0.25">
      <c r="A201" t="str">
        <f>"ZE71BE340B"</f>
        <v>ZE71BE340B</v>
      </c>
      <c r="B201" t="str">
        <f t="shared" si="3"/>
        <v>06363391001</v>
      </c>
      <c r="C201" t="s">
        <v>15</v>
      </c>
      <c r="D201" t="s">
        <v>506</v>
      </c>
      <c r="E201" t="s">
        <v>17</v>
      </c>
      <c r="F201" s="1" t="s">
        <v>507</v>
      </c>
      <c r="G201" t="s">
        <v>508</v>
      </c>
      <c r="H201">
        <v>260</v>
      </c>
      <c r="I201" s="2">
        <v>42682</v>
      </c>
      <c r="J201" s="2">
        <v>42684</v>
      </c>
      <c r="K201">
        <v>260</v>
      </c>
    </row>
    <row r="202" spans="1:11" ht="120" x14ac:dyDescent="0.25">
      <c r="A202" t="str">
        <f>"ZF91C19E92"</f>
        <v>ZF91C19E92</v>
      </c>
      <c r="B202" t="str">
        <f t="shared" si="3"/>
        <v>06363391001</v>
      </c>
      <c r="C202" t="s">
        <v>15</v>
      </c>
      <c r="D202" t="s">
        <v>509</v>
      </c>
      <c r="E202" t="s">
        <v>17</v>
      </c>
      <c r="F202" s="1" t="s">
        <v>88</v>
      </c>
      <c r="G202" t="s">
        <v>89</v>
      </c>
      <c r="H202">
        <v>237</v>
      </c>
      <c r="I202" s="2">
        <v>42696</v>
      </c>
      <c r="J202" s="2">
        <v>42706</v>
      </c>
      <c r="K202">
        <v>237</v>
      </c>
    </row>
    <row r="203" spans="1:11" ht="75" x14ac:dyDescent="0.25">
      <c r="A203" t="str">
        <f>"66305631AF"</f>
        <v>66305631AF</v>
      </c>
      <c r="B203" t="str">
        <f t="shared" si="3"/>
        <v>06363391001</v>
      </c>
      <c r="C203" t="s">
        <v>15</v>
      </c>
      <c r="D203" t="s">
        <v>510</v>
      </c>
      <c r="E203" t="s">
        <v>186</v>
      </c>
      <c r="F203" s="1" t="s">
        <v>244</v>
      </c>
      <c r="G203" t="s">
        <v>245</v>
      </c>
      <c r="H203">
        <v>2500000</v>
      </c>
      <c r="I203" s="2">
        <v>42662</v>
      </c>
      <c r="J203" s="2">
        <v>43756</v>
      </c>
      <c r="K203">
        <v>238525.45</v>
      </c>
    </row>
    <row r="204" spans="1:11" ht="90" x14ac:dyDescent="0.25">
      <c r="A204" t="str">
        <f>"Z9F1C2CCCF"</f>
        <v>Z9F1C2CCCF</v>
      </c>
      <c r="B204" t="str">
        <f t="shared" si="3"/>
        <v>06363391001</v>
      </c>
      <c r="C204" t="s">
        <v>15</v>
      </c>
      <c r="D204" t="s">
        <v>511</v>
      </c>
      <c r="E204" t="s">
        <v>17</v>
      </c>
      <c r="F204" s="1" t="s">
        <v>512</v>
      </c>
      <c r="G204" t="s">
        <v>513</v>
      </c>
      <c r="H204">
        <v>110</v>
      </c>
      <c r="I204" s="2">
        <v>42696</v>
      </c>
      <c r="J204" s="2">
        <v>42726</v>
      </c>
      <c r="K204">
        <v>103</v>
      </c>
    </row>
    <row r="205" spans="1:11" ht="105" x14ac:dyDescent="0.25">
      <c r="A205" t="str">
        <f>"68961567F4"</f>
        <v>68961567F4</v>
      </c>
      <c r="B205" t="str">
        <f t="shared" si="3"/>
        <v>06363391001</v>
      </c>
      <c r="C205" t="s">
        <v>15</v>
      </c>
      <c r="D205" t="s">
        <v>514</v>
      </c>
      <c r="E205" t="s">
        <v>40</v>
      </c>
      <c r="F205" s="1" t="s">
        <v>492</v>
      </c>
      <c r="G205" t="s">
        <v>493</v>
      </c>
      <c r="H205">
        <v>0</v>
      </c>
      <c r="I205" s="2">
        <v>42718</v>
      </c>
      <c r="J205" s="2">
        <v>42718</v>
      </c>
      <c r="K205">
        <v>4847.33</v>
      </c>
    </row>
    <row r="206" spans="1:11" ht="120" x14ac:dyDescent="0.25">
      <c r="A206" t="str">
        <f>"ZE81C2D7A9"</f>
        <v>ZE81C2D7A9</v>
      </c>
      <c r="B206" t="str">
        <f t="shared" si="3"/>
        <v>06363391001</v>
      </c>
      <c r="C206" t="s">
        <v>15</v>
      </c>
      <c r="D206" t="s">
        <v>87</v>
      </c>
      <c r="E206" t="s">
        <v>17</v>
      </c>
      <c r="F206" s="1" t="s">
        <v>88</v>
      </c>
      <c r="G206" t="s">
        <v>89</v>
      </c>
      <c r="H206">
        <v>22800</v>
      </c>
      <c r="I206" s="2">
        <v>42736</v>
      </c>
      <c r="J206" s="2">
        <v>43830</v>
      </c>
      <c r="K206">
        <v>22800</v>
      </c>
    </row>
    <row r="207" spans="1:11" ht="405" x14ac:dyDescent="0.25">
      <c r="A207" t="str">
        <f>"ZC31B75725"</f>
        <v>ZC31B75725</v>
      </c>
      <c r="B207" t="str">
        <f t="shared" si="3"/>
        <v>06363391001</v>
      </c>
      <c r="C207" t="s">
        <v>15</v>
      </c>
      <c r="D207" t="s">
        <v>515</v>
      </c>
      <c r="E207" t="s">
        <v>30</v>
      </c>
      <c r="F207" s="1" t="s">
        <v>516</v>
      </c>
      <c r="G207" t="s">
        <v>517</v>
      </c>
      <c r="H207">
        <v>38040</v>
      </c>
      <c r="I207" s="2">
        <v>42702</v>
      </c>
      <c r="J207" s="2">
        <v>43797</v>
      </c>
      <c r="K207">
        <v>8513.76</v>
      </c>
    </row>
    <row r="208" spans="1:11" ht="90" x14ac:dyDescent="0.25">
      <c r="A208" t="str">
        <f>"6848194C74"</f>
        <v>6848194C74</v>
      </c>
      <c r="B208" t="str">
        <f t="shared" si="3"/>
        <v>06363391001</v>
      </c>
      <c r="C208" t="s">
        <v>15</v>
      </c>
      <c r="D208" t="s">
        <v>269</v>
      </c>
      <c r="E208" t="s">
        <v>40</v>
      </c>
      <c r="F208" s="1" t="s">
        <v>132</v>
      </c>
      <c r="G208" t="s">
        <v>133</v>
      </c>
      <c r="H208">
        <v>2656.32</v>
      </c>
      <c r="I208" s="2">
        <v>42717</v>
      </c>
      <c r="J208" s="2">
        <v>44177</v>
      </c>
      <c r="K208">
        <v>1582.05</v>
      </c>
    </row>
    <row r="209" spans="1:11" ht="90" x14ac:dyDescent="0.25">
      <c r="A209" t="str">
        <f>"6912657902"</f>
        <v>6912657902</v>
      </c>
      <c r="B209" t="str">
        <f t="shared" si="3"/>
        <v>06363391001</v>
      </c>
      <c r="C209" t="s">
        <v>15</v>
      </c>
      <c r="D209" t="s">
        <v>518</v>
      </c>
      <c r="E209" t="s">
        <v>40</v>
      </c>
      <c r="F209" s="1" t="s">
        <v>392</v>
      </c>
      <c r="G209" t="s">
        <v>393</v>
      </c>
      <c r="H209">
        <v>1177374.8</v>
      </c>
      <c r="I209" s="2">
        <v>42736</v>
      </c>
      <c r="J209" s="2">
        <v>42978</v>
      </c>
      <c r="K209">
        <v>1049298.5900000001</v>
      </c>
    </row>
    <row r="210" spans="1:11" ht="90" x14ac:dyDescent="0.25">
      <c r="A210" t="str">
        <f>"Z911C88E9A"</f>
        <v>Z911C88E9A</v>
      </c>
      <c r="B210" t="str">
        <f t="shared" si="3"/>
        <v>06363391001</v>
      </c>
      <c r="C210" t="s">
        <v>15</v>
      </c>
      <c r="D210" t="s">
        <v>519</v>
      </c>
      <c r="E210" t="s">
        <v>17</v>
      </c>
      <c r="F210" s="1" t="s">
        <v>520</v>
      </c>
      <c r="G210" t="s">
        <v>521</v>
      </c>
      <c r="H210">
        <v>10000</v>
      </c>
      <c r="I210" s="2">
        <v>42720</v>
      </c>
      <c r="J210" s="2">
        <v>42387</v>
      </c>
      <c r="K210">
        <v>10000</v>
      </c>
    </row>
    <row r="211" spans="1:11" ht="90" x14ac:dyDescent="0.25">
      <c r="A211" t="str">
        <f>"ZEB1C7D11E"</f>
        <v>ZEB1C7D11E</v>
      </c>
      <c r="B211" t="str">
        <f t="shared" si="3"/>
        <v>06363391001</v>
      </c>
      <c r="C211" t="s">
        <v>15</v>
      </c>
      <c r="D211" t="s">
        <v>522</v>
      </c>
      <c r="E211" t="s">
        <v>17</v>
      </c>
      <c r="F211" s="1" t="s">
        <v>163</v>
      </c>
      <c r="G211" t="s">
        <v>164</v>
      </c>
      <c r="H211">
        <v>1300</v>
      </c>
      <c r="I211" s="2">
        <v>42718</v>
      </c>
      <c r="J211" s="2">
        <v>42725</v>
      </c>
      <c r="K211">
        <v>1300</v>
      </c>
    </row>
    <row r="212" spans="1:11" ht="105" x14ac:dyDescent="0.25">
      <c r="A212" t="str">
        <f>"69237825A7"</f>
        <v>69237825A7</v>
      </c>
      <c r="B212" t="str">
        <f t="shared" si="3"/>
        <v>06363391001</v>
      </c>
      <c r="C212" t="s">
        <v>15</v>
      </c>
      <c r="D212" t="s">
        <v>523</v>
      </c>
      <c r="E212" t="s">
        <v>40</v>
      </c>
      <c r="F212" s="1" t="s">
        <v>492</v>
      </c>
      <c r="G212" t="s">
        <v>493</v>
      </c>
      <c r="H212">
        <v>0</v>
      </c>
      <c r="I212" s="2">
        <v>42740</v>
      </c>
      <c r="J212" s="2">
        <v>42740</v>
      </c>
      <c r="K212">
        <v>5128.7299999999996</v>
      </c>
    </row>
    <row r="213" spans="1:11" ht="409.5" x14ac:dyDescent="0.25">
      <c r="A213" t="str">
        <f>"6562883660"</f>
        <v>6562883660</v>
      </c>
      <c r="B213" t="str">
        <f t="shared" si="3"/>
        <v>06363391001</v>
      </c>
      <c r="C213" t="s">
        <v>15</v>
      </c>
      <c r="D213" t="s">
        <v>524</v>
      </c>
      <c r="E213" t="s">
        <v>186</v>
      </c>
      <c r="F213" s="1" t="s">
        <v>525</v>
      </c>
      <c r="G213" t="s">
        <v>60</v>
      </c>
      <c r="H213">
        <v>2670785</v>
      </c>
      <c r="I213" s="2">
        <v>42697</v>
      </c>
      <c r="J213" s="2">
        <v>43791</v>
      </c>
      <c r="K213">
        <v>962090.2</v>
      </c>
    </row>
    <row r="214" spans="1:11" ht="120" x14ac:dyDescent="0.25">
      <c r="A214" t="str">
        <f>"Z531C9B3B8"</f>
        <v>Z531C9B3B8</v>
      </c>
      <c r="B214" t="str">
        <f t="shared" si="3"/>
        <v>06363391001</v>
      </c>
      <c r="C214" t="s">
        <v>15</v>
      </c>
      <c r="D214" t="s">
        <v>526</v>
      </c>
      <c r="E214" t="s">
        <v>17</v>
      </c>
      <c r="F214" s="1" t="s">
        <v>527</v>
      </c>
      <c r="G214" t="s">
        <v>528</v>
      </c>
      <c r="H214">
        <v>702</v>
      </c>
      <c r="I214" s="2">
        <v>42736</v>
      </c>
      <c r="J214" s="2">
        <v>43100</v>
      </c>
      <c r="K214">
        <v>702</v>
      </c>
    </row>
    <row r="215" spans="1:11" ht="90" x14ac:dyDescent="0.25">
      <c r="A215" t="str">
        <f>"Z951C65411"</f>
        <v>Z951C65411</v>
      </c>
      <c r="B215" t="str">
        <f t="shared" si="3"/>
        <v>06363391001</v>
      </c>
      <c r="C215" t="s">
        <v>15</v>
      </c>
      <c r="D215" t="s">
        <v>529</v>
      </c>
      <c r="E215" t="s">
        <v>17</v>
      </c>
      <c r="F215" s="1" t="s">
        <v>132</v>
      </c>
      <c r="G215" t="s">
        <v>133</v>
      </c>
      <c r="H215">
        <v>456</v>
      </c>
      <c r="I215" s="2">
        <v>42709</v>
      </c>
      <c r="J215" s="2">
        <v>42724</v>
      </c>
      <c r="K215">
        <v>456</v>
      </c>
    </row>
    <row r="216" spans="1:11" ht="75" x14ac:dyDescent="0.25">
      <c r="A216" t="str">
        <f>"ZBB1C65481"</f>
        <v>ZBB1C65481</v>
      </c>
      <c r="B216" t="str">
        <f t="shared" si="3"/>
        <v>06363391001</v>
      </c>
      <c r="C216" t="s">
        <v>15</v>
      </c>
      <c r="D216" t="s">
        <v>530</v>
      </c>
      <c r="E216" t="s">
        <v>17</v>
      </c>
      <c r="F216" s="1" t="s">
        <v>531</v>
      </c>
      <c r="G216" t="s">
        <v>532</v>
      </c>
      <c r="H216">
        <v>1831</v>
      </c>
      <c r="I216" s="2">
        <v>42736</v>
      </c>
      <c r="J216" s="2">
        <v>43830</v>
      </c>
      <c r="K216">
        <v>0</v>
      </c>
    </row>
    <row r="217" spans="1:11" ht="105" x14ac:dyDescent="0.25">
      <c r="A217" t="str">
        <f>"ZB31C9B41A"</f>
        <v>ZB31C9B41A</v>
      </c>
      <c r="B217" t="str">
        <f t="shared" si="3"/>
        <v>06363391001</v>
      </c>
      <c r="C217" t="s">
        <v>15</v>
      </c>
      <c r="D217" t="s">
        <v>533</v>
      </c>
      <c r="E217" t="s">
        <v>17</v>
      </c>
      <c r="F217" s="1" t="s">
        <v>113</v>
      </c>
      <c r="G217" t="s">
        <v>114</v>
      </c>
      <c r="H217">
        <v>120</v>
      </c>
      <c r="I217" s="2">
        <v>42370</v>
      </c>
      <c r="J217" s="2">
        <v>43100</v>
      </c>
      <c r="K217">
        <v>115.38</v>
      </c>
    </row>
    <row r="218" spans="1:11" ht="90" x14ac:dyDescent="0.25">
      <c r="A218" t="str">
        <f>"Z661CA83CC"</f>
        <v>Z661CA83CC</v>
      </c>
      <c r="B218" t="str">
        <f t="shared" si="3"/>
        <v>06363391001</v>
      </c>
      <c r="C218" t="s">
        <v>15</v>
      </c>
      <c r="D218" t="s">
        <v>534</v>
      </c>
      <c r="E218" t="s">
        <v>17</v>
      </c>
      <c r="F218" s="1" t="s">
        <v>535</v>
      </c>
      <c r="G218" t="s">
        <v>536</v>
      </c>
      <c r="H218">
        <v>500</v>
      </c>
      <c r="I218" s="2">
        <v>42725</v>
      </c>
      <c r="J218" s="2">
        <v>42755</v>
      </c>
      <c r="K218">
        <v>500</v>
      </c>
    </row>
    <row r="219" spans="1:11" ht="105" x14ac:dyDescent="0.25">
      <c r="A219" t="str">
        <f>"ZB31CB065D"</f>
        <v>ZB31CB065D</v>
      </c>
      <c r="B219" t="str">
        <f t="shared" si="3"/>
        <v>06363391001</v>
      </c>
      <c r="C219" t="s">
        <v>15</v>
      </c>
      <c r="D219" t="s">
        <v>537</v>
      </c>
      <c r="E219" t="s">
        <v>17</v>
      </c>
      <c r="F219" s="1" t="s">
        <v>27</v>
      </c>
      <c r="G219" t="s">
        <v>28</v>
      </c>
      <c r="H219">
        <v>2338.21</v>
      </c>
      <c r="I219" s="2">
        <v>42726</v>
      </c>
      <c r="J219" s="2">
        <v>42744</v>
      </c>
      <c r="K219">
        <v>2338.21</v>
      </c>
    </row>
    <row r="220" spans="1:11" ht="409.5" x14ac:dyDescent="0.25">
      <c r="A220" t="str">
        <f>"6562888A7F"</f>
        <v>6562888A7F</v>
      </c>
      <c r="B220" t="str">
        <f t="shared" si="3"/>
        <v>06363391001</v>
      </c>
      <c r="C220" t="s">
        <v>15</v>
      </c>
      <c r="D220" t="s">
        <v>538</v>
      </c>
      <c r="E220" t="s">
        <v>186</v>
      </c>
      <c r="F220" s="1" t="s">
        <v>525</v>
      </c>
      <c r="G220" t="s">
        <v>60</v>
      </c>
      <c r="H220">
        <v>392375.2</v>
      </c>
      <c r="I220" s="2">
        <v>42705</v>
      </c>
      <c r="J220" s="2">
        <v>43799</v>
      </c>
      <c r="K220">
        <v>0</v>
      </c>
    </row>
    <row r="221" spans="1:11" ht="210" x14ac:dyDescent="0.25">
      <c r="A221" t="str">
        <f>"6657813916"</f>
        <v>6657813916</v>
      </c>
      <c r="B221" t="str">
        <f t="shared" si="3"/>
        <v>06363391001</v>
      </c>
      <c r="C221" t="s">
        <v>15</v>
      </c>
      <c r="D221" t="s">
        <v>539</v>
      </c>
      <c r="E221" t="s">
        <v>186</v>
      </c>
      <c r="F221" s="1" t="s">
        <v>540</v>
      </c>
      <c r="G221" t="s">
        <v>541</v>
      </c>
      <c r="H221">
        <v>204289.07</v>
      </c>
      <c r="I221" s="2">
        <v>42664</v>
      </c>
      <c r="J221" s="2">
        <v>43028</v>
      </c>
      <c r="K221">
        <v>0</v>
      </c>
    </row>
    <row r="222" spans="1:11" ht="210" x14ac:dyDescent="0.25">
      <c r="A222" t="str">
        <f>"66578252FF"</f>
        <v>66578252FF</v>
      </c>
      <c r="B222" t="str">
        <f t="shared" si="3"/>
        <v>06363391001</v>
      </c>
      <c r="C222" t="s">
        <v>15</v>
      </c>
      <c r="D222" t="s">
        <v>542</v>
      </c>
      <c r="E222" t="s">
        <v>186</v>
      </c>
      <c r="F222" s="1" t="s">
        <v>540</v>
      </c>
      <c r="G222" t="s">
        <v>541</v>
      </c>
      <c r="H222">
        <v>237735.64</v>
      </c>
      <c r="I222" s="2">
        <v>42664</v>
      </c>
      <c r="J222" s="2">
        <v>43028</v>
      </c>
      <c r="K222">
        <v>0</v>
      </c>
    </row>
    <row r="223" spans="1:11" ht="210" x14ac:dyDescent="0.25">
      <c r="A223" t="str">
        <f>"66578729C6"</f>
        <v>66578729C6</v>
      </c>
      <c r="B223" t="str">
        <f t="shared" si="3"/>
        <v>06363391001</v>
      </c>
      <c r="C223" t="s">
        <v>15</v>
      </c>
      <c r="D223" t="s">
        <v>543</v>
      </c>
      <c r="E223" t="s">
        <v>186</v>
      </c>
      <c r="F223" s="1" t="s">
        <v>544</v>
      </c>
      <c r="G223" t="s">
        <v>100</v>
      </c>
      <c r="H223">
        <v>203666.03</v>
      </c>
      <c r="I223" s="2">
        <v>42669</v>
      </c>
      <c r="J223" s="2">
        <v>43033</v>
      </c>
      <c r="K223">
        <v>19369.75</v>
      </c>
    </row>
    <row r="224" spans="1:11" ht="409.5" x14ac:dyDescent="0.25">
      <c r="A224" t="str">
        <f>"6573749D46"</f>
        <v>6573749D46</v>
      </c>
      <c r="B224" t="str">
        <f t="shared" si="3"/>
        <v>06363391001</v>
      </c>
      <c r="C224" t="s">
        <v>15</v>
      </c>
      <c r="D224" t="s">
        <v>545</v>
      </c>
      <c r="E224" t="s">
        <v>186</v>
      </c>
      <c r="F224" s="1" t="s">
        <v>546</v>
      </c>
      <c r="G224" t="s">
        <v>547</v>
      </c>
      <c r="H224">
        <v>1800000</v>
      </c>
      <c r="I224" s="2">
        <v>42705</v>
      </c>
      <c r="J224" s="2">
        <v>43793</v>
      </c>
      <c r="K224">
        <v>0</v>
      </c>
    </row>
    <row r="225" spans="1:11" ht="105" x14ac:dyDescent="0.25">
      <c r="A225" t="str">
        <f>"6601706C1F"</f>
        <v>6601706C1F</v>
      </c>
      <c r="B225" t="str">
        <f t="shared" si="3"/>
        <v>06363391001</v>
      </c>
      <c r="C225" t="s">
        <v>15</v>
      </c>
      <c r="D225" t="s">
        <v>548</v>
      </c>
      <c r="E225" t="s">
        <v>186</v>
      </c>
      <c r="F225" s="1" t="s">
        <v>549</v>
      </c>
      <c r="G225" t="s">
        <v>550</v>
      </c>
      <c r="H225">
        <v>432354.48</v>
      </c>
      <c r="I225" s="2">
        <v>42670</v>
      </c>
      <c r="J225" s="2">
        <v>43764</v>
      </c>
      <c r="K225">
        <v>0</v>
      </c>
    </row>
    <row r="226" spans="1:11" ht="120" x14ac:dyDescent="0.25">
      <c r="A226" t="str">
        <f>"ZF11AC1729"</f>
        <v>ZF11AC1729</v>
      </c>
      <c r="B226" t="str">
        <f t="shared" si="3"/>
        <v>06363391001</v>
      </c>
      <c r="C226" t="s">
        <v>15</v>
      </c>
      <c r="D226" t="s">
        <v>551</v>
      </c>
      <c r="E226" t="s">
        <v>17</v>
      </c>
      <c r="F226" s="1" t="s">
        <v>552</v>
      </c>
      <c r="G226" t="s">
        <v>553</v>
      </c>
      <c r="H226">
        <v>0</v>
      </c>
      <c r="I226" s="2">
        <v>42370</v>
      </c>
      <c r="J226" s="2">
        <v>43100</v>
      </c>
      <c r="K226">
        <v>277.26</v>
      </c>
    </row>
    <row r="227" spans="1:11" ht="105" x14ac:dyDescent="0.25">
      <c r="A227" t="str">
        <f>"6601682852"</f>
        <v>6601682852</v>
      </c>
      <c r="B227" t="str">
        <f t="shared" si="3"/>
        <v>06363391001</v>
      </c>
      <c r="C227" t="s">
        <v>15</v>
      </c>
      <c r="D227" t="s">
        <v>554</v>
      </c>
      <c r="E227" t="s">
        <v>186</v>
      </c>
      <c r="F227" s="1" t="s">
        <v>555</v>
      </c>
      <c r="G227" t="s">
        <v>556</v>
      </c>
      <c r="H227">
        <v>210773.89</v>
      </c>
      <c r="I227" s="2">
        <v>42726</v>
      </c>
      <c r="J227" s="2">
        <v>43820</v>
      </c>
      <c r="K227">
        <v>0</v>
      </c>
    </row>
    <row r="228" spans="1:11" ht="105" x14ac:dyDescent="0.25">
      <c r="A228" t="str">
        <f>"6601692095"</f>
        <v>6601692095</v>
      </c>
      <c r="B228" t="str">
        <f t="shared" si="3"/>
        <v>06363391001</v>
      </c>
      <c r="C228" t="s">
        <v>15</v>
      </c>
      <c r="D228" t="s">
        <v>557</v>
      </c>
      <c r="E228" t="s">
        <v>186</v>
      </c>
      <c r="F228" s="1" t="s">
        <v>555</v>
      </c>
      <c r="G228" t="s">
        <v>556</v>
      </c>
      <c r="H228">
        <v>241248.25</v>
      </c>
      <c r="I228" s="2">
        <v>42726</v>
      </c>
      <c r="J228" s="2">
        <v>43820</v>
      </c>
      <c r="K228">
        <v>0</v>
      </c>
    </row>
    <row r="229" spans="1:11" ht="105" x14ac:dyDescent="0.25">
      <c r="A229" t="str">
        <f>"66016974B4"</f>
        <v>66016974B4</v>
      </c>
      <c r="B229" t="str">
        <f t="shared" si="3"/>
        <v>06363391001</v>
      </c>
      <c r="C229" t="s">
        <v>15</v>
      </c>
      <c r="D229" t="s">
        <v>558</v>
      </c>
      <c r="E229" t="s">
        <v>186</v>
      </c>
      <c r="F229" s="1" t="s">
        <v>555</v>
      </c>
      <c r="G229" t="s">
        <v>556</v>
      </c>
      <c r="H229">
        <v>108953.15</v>
      </c>
      <c r="I229" s="2">
        <v>42726</v>
      </c>
      <c r="J229" s="2">
        <v>43820</v>
      </c>
      <c r="K229">
        <v>0</v>
      </c>
    </row>
    <row r="230" spans="1:11" ht="120" x14ac:dyDescent="0.25">
      <c r="A230" t="str">
        <f>"Z811C2CE87"</f>
        <v>Z811C2CE87</v>
      </c>
      <c r="B230" t="str">
        <f t="shared" si="3"/>
        <v>06363391001</v>
      </c>
      <c r="C230" t="s">
        <v>15</v>
      </c>
      <c r="D230" t="s">
        <v>559</v>
      </c>
      <c r="E230" t="s">
        <v>17</v>
      </c>
      <c r="F230" s="1" t="s">
        <v>560</v>
      </c>
      <c r="G230" t="s">
        <v>561</v>
      </c>
      <c r="H230">
        <v>1500</v>
      </c>
      <c r="I230" s="2">
        <v>42705</v>
      </c>
      <c r="J230" s="2">
        <v>42706</v>
      </c>
      <c r="K230">
        <v>1500</v>
      </c>
    </row>
    <row r="231" spans="1:11" ht="75" x14ac:dyDescent="0.25">
      <c r="A231" t="str">
        <f>"Z98189DA4B"</f>
        <v>Z98189DA4B</v>
      </c>
      <c r="B231" t="str">
        <f t="shared" si="3"/>
        <v>06363391001</v>
      </c>
      <c r="C231" t="s">
        <v>15</v>
      </c>
      <c r="D231" t="s">
        <v>562</v>
      </c>
      <c r="E231" t="s">
        <v>17</v>
      </c>
      <c r="F231" s="1" t="s">
        <v>563</v>
      </c>
      <c r="G231" t="s">
        <v>564</v>
      </c>
      <c r="H231">
        <v>150</v>
      </c>
      <c r="I231" s="2">
        <v>42370</v>
      </c>
      <c r="J231" s="2">
        <v>42735</v>
      </c>
      <c r="K231">
        <v>150</v>
      </c>
    </row>
    <row r="232" spans="1:11" ht="90" x14ac:dyDescent="0.25">
      <c r="A232" t="str">
        <f>"Z8D1934152"</f>
        <v>Z8D1934152</v>
      </c>
      <c r="B232" t="str">
        <f t="shared" si="3"/>
        <v>06363391001</v>
      </c>
      <c r="C232" t="s">
        <v>15</v>
      </c>
      <c r="D232" t="s">
        <v>565</v>
      </c>
      <c r="E232" t="s">
        <v>17</v>
      </c>
      <c r="F232" s="1" t="s">
        <v>177</v>
      </c>
      <c r="G232" t="s">
        <v>178</v>
      </c>
      <c r="H232">
        <v>32810</v>
      </c>
      <c r="I232" s="2">
        <v>42461</v>
      </c>
      <c r="J232" s="2">
        <v>42766</v>
      </c>
      <c r="K232">
        <v>32810</v>
      </c>
    </row>
    <row r="233" spans="1:11" ht="390" x14ac:dyDescent="0.25">
      <c r="A233" t="str">
        <f>"Z161A44CB0"</f>
        <v>Z161A44CB0</v>
      </c>
      <c r="B233" t="str">
        <f t="shared" si="3"/>
        <v>06363391001</v>
      </c>
      <c r="C233" t="s">
        <v>15</v>
      </c>
      <c r="D233" t="s">
        <v>566</v>
      </c>
      <c r="E233" t="s">
        <v>30</v>
      </c>
      <c r="F233" s="1" t="s">
        <v>567</v>
      </c>
      <c r="G233" t="s">
        <v>568</v>
      </c>
      <c r="H233">
        <v>26938.26</v>
      </c>
      <c r="I233" s="2">
        <v>42548</v>
      </c>
      <c r="J233" s="2">
        <v>42578</v>
      </c>
      <c r="K233">
        <v>17520.259999999998</v>
      </c>
    </row>
    <row r="234" spans="1:11" ht="409.5" x14ac:dyDescent="0.25">
      <c r="A234" t="str">
        <f>"XD4171FE75"</f>
        <v>XD4171FE75</v>
      </c>
      <c r="B234" t="str">
        <f t="shared" si="3"/>
        <v>06363391001</v>
      </c>
      <c r="C234" t="s">
        <v>15</v>
      </c>
      <c r="D234" t="s">
        <v>569</v>
      </c>
      <c r="E234" t="s">
        <v>17</v>
      </c>
      <c r="F234" s="1" t="s">
        <v>570</v>
      </c>
      <c r="G234" t="s">
        <v>571</v>
      </c>
      <c r="H234">
        <v>16069.8</v>
      </c>
      <c r="I234" s="2">
        <v>42454</v>
      </c>
      <c r="J234" s="2">
        <v>42551</v>
      </c>
      <c r="K234">
        <v>10567.51</v>
      </c>
    </row>
    <row r="235" spans="1:11" ht="90" x14ac:dyDescent="0.25">
      <c r="A235" t="str">
        <f>"Z001B0CFD5"</f>
        <v>Z001B0CFD5</v>
      </c>
      <c r="B235" t="str">
        <f t="shared" si="3"/>
        <v>06363391001</v>
      </c>
      <c r="C235" t="s">
        <v>15</v>
      </c>
      <c r="D235" t="s">
        <v>572</v>
      </c>
      <c r="E235" t="s">
        <v>17</v>
      </c>
      <c r="F235" s="1" t="s">
        <v>163</v>
      </c>
      <c r="G235" t="s">
        <v>164</v>
      </c>
      <c r="H235">
        <v>778.69</v>
      </c>
      <c r="I235" s="2">
        <v>42615</v>
      </c>
      <c r="J235" s="2">
        <v>42635</v>
      </c>
      <c r="K235">
        <v>778.69</v>
      </c>
    </row>
    <row r="236" spans="1:11" ht="300" x14ac:dyDescent="0.25">
      <c r="A236" t="str">
        <f>"ZE81AD46A4"</f>
        <v>ZE81AD46A4</v>
      </c>
      <c r="B236" t="str">
        <f t="shared" si="3"/>
        <v>06363391001</v>
      </c>
      <c r="C236" t="s">
        <v>15</v>
      </c>
      <c r="D236" t="s">
        <v>573</v>
      </c>
      <c r="E236" t="s">
        <v>17</v>
      </c>
      <c r="F236" s="1" t="s">
        <v>574</v>
      </c>
      <c r="G236" t="s">
        <v>575</v>
      </c>
      <c r="H236">
        <v>323.39999999999998</v>
      </c>
      <c r="I236" s="2">
        <v>42620</v>
      </c>
      <c r="J236" s="2">
        <v>42632</v>
      </c>
      <c r="K236">
        <v>323.39999999999998</v>
      </c>
    </row>
    <row r="237" spans="1:11" ht="75" x14ac:dyDescent="0.25">
      <c r="A237" t="str">
        <f>"ZBC1AAE1C1"</f>
        <v>ZBC1AAE1C1</v>
      </c>
      <c r="B237" t="str">
        <f t="shared" si="3"/>
        <v>06363391001</v>
      </c>
      <c r="C237" t="s">
        <v>15</v>
      </c>
      <c r="D237" t="s">
        <v>576</v>
      </c>
      <c r="E237" t="s">
        <v>17</v>
      </c>
      <c r="F237" s="1" t="s">
        <v>577</v>
      </c>
      <c r="G237" t="s">
        <v>578</v>
      </c>
      <c r="H237">
        <v>650</v>
      </c>
      <c r="I237" s="2">
        <v>42572</v>
      </c>
      <c r="J237" s="2">
        <v>42752</v>
      </c>
      <c r="K237">
        <v>650</v>
      </c>
    </row>
    <row r="238" spans="1:11" ht="90" x14ac:dyDescent="0.25">
      <c r="A238" t="str">
        <f>"688533455C"</f>
        <v>688533455C</v>
      </c>
      <c r="B238" t="str">
        <f t="shared" si="3"/>
        <v>06363391001</v>
      </c>
      <c r="C238" t="s">
        <v>15</v>
      </c>
      <c r="D238" t="s">
        <v>579</v>
      </c>
      <c r="E238" t="s">
        <v>40</v>
      </c>
      <c r="F238" s="1" t="s">
        <v>132</v>
      </c>
      <c r="G238" t="s">
        <v>133</v>
      </c>
      <c r="H238">
        <v>2656.32</v>
      </c>
      <c r="I238" s="2">
        <v>42789</v>
      </c>
      <c r="J238" s="2">
        <v>44249</v>
      </c>
      <c r="K238">
        <v>1404.88</v>
      </c>
    </row>
    <row r="239" spans="1:11" ht="405" x14ac:dyDescent="0.25">
      <c r="A239" t="str">
        <f>"Z291BA9350"</f>
        <v>Z291BA9350</v>
      </c>
      <c r="B239" t="str">
        <f t="shared" si="3"/>
        <v>06363391001</v>
      </c>
      <c r="C239" t="s">
        <v>15</v>
      </c>
      <c r="D239" t="s">
        <v>580</v>
      </c>
      <c r="E239" t="s">
        <v>17</v>
      </c>
      <c r="F239" s="1" t="s">
        <v>581</v>
      </c>
      <c r="G239" t="s">
        <v>582</v>
      </c>
      <c r="H239">
        <v>38000</v>
      </c>
      <c r="I239" s="2">
        <v>42674</v>
      </c>
      <c r="J239" s="2">
        <v>43404</v>
      </c>
      <c r="K239">
        <v>34630.769999999997</v>
      </c>
    </row>
    <row r="240" spans="1:11" ht="105" x14ac:dyDescent="0.25">
      <c r="A240" t="str">
        <f>"XC618115A7"</f>
        <v>XC618115A7</v>
      </c>
      <c r="B240" t="str">
        <f t="shared" ref="B240:B303" si="4">"06363391001"</f>
        <v>06363391001</v>
      </c>
      <c r="C240" t="s">
        <v>15</v>
      </c>
      <c r="D240" t="s">
        <v>583</v>
      </c>
      <c r="E240" t="s">
        <v>17</v>
      </c>
      <c r="F240" s="1" t="s">
        <v>584</v>
      </c>
      <c r="G240" t="s">
        <v>585</v>
      </c>
      <c r="H240">
        <v>0</v>
      </c>
      <c r="I240" s="2">
        <v>42370</v>
      </c>
      <c r="J240" s="2">
        <v>43100</v>
      </c>
      <c r="K240">
        <v>955.45</v>
      </c>
    </row>
    <row r="241" spans="1:11" ht="315" x14ac:dyDescent="0.25">
      <c r="A241" t="str">
        <f>"Z431959035"</f>
        <v>Z431959035</v>
      </c>
      <c r="B241" t="str">
        <f t="shared" si="4"/>
        <v>06363391001</v>
      </c>
      <c r="C241" t="s">
        <v>15</v>
      </c>
      <c r="D241" t="s">
        <v>586</v>
      </c>
      <c r="E241" t="s">
        <v>17</v>
      </c>
      <c r="F241" s="1" t="s">
        <v>587</v>
      </c>
      <c r="G241" t="s">
        <v>588</v>
      </c>
      <c r="H241">
        <v>105</v>
      </c>
      <c r="I241" s="2">
        <v>42472</v>
      </c>
      <c r="J241" s="2">
        <v>42472</v>
      </c>
      <c r="K241">
        <v>105</v>
      </c>
    </row>
    <row r="242" spans="1:11" ht="135" x14ac:dyDescent="0.25">
      <c r="A242" t="str">
        <f>"XBF18115BA"</f>
        <v>XBF18115BA</v>
      </c>
      <c r="B242" t="str">
        <f t="shared" si="4"/>
        <v>06363391001</v>
      </c>
      <c r="C242" t="s">
        <v>15</v>
      </c>
      <c r="D242" t="s">
        <v>589</v>
      </c>
      <c r="E242" t="s">
        <v>17</v>
      </c>
      <c r="F242" s="1" t="s">
        <v>62</v>
      </c>
      <c r="G242" t="s">
        <v>63</v>
      </c>
      <c r="H242">
        <v>968.4</v>
      </c>
      <c r="I242" s="2">
        <v>42412</v>
      </c>
      <c r="J242" s="2">
        <v>42457</v>
      </c>
      <c r="K242">
        <v>968.4</v>
      </c>
    </row>
    <row r="243" spans="1:11" ht="135" x14ac:dyDescent="0.25">
      <c r="A243" t="str">
        <f>"6557505051"</f>
        <v>6557505051</v>
      </c>
      <c r="B243" t="str">
        <f t="shared" si="4"/>
        <v>06363391001</v>
      </c>
      <c r="C243" t="s">
        <v>15</v>
      </c>
      <c r="D243" t="s">
        <v>590</v>
      </c>
      <c r="E243" t="s">
        <v>40</v>
      </c>
      <c r="F243" s="1" t="s">
        <v>135</v>
      </c>
      <c r="G243" t="s">
        <v>136</v>
      </c>
      <c r="H243">
        <v>1545.6</v>
      </c>
      <c r="I243" s="2">
        <v>42473</v>
      </c>
      <c r="J243" s="2">
        <v>43933</v>
      </c>
      <c r="K243">
        <v>482.95</v>
      </c>
    </row>
    <row r="244" spans="1:11" ht="210" x14ac:dyDescent="0.25">
      <c r="A244" t="str">
        <f>"Z621CDFB06"</f>
        <v>Z621CDFB06</v>
      </c>
      <c r="B244" t="str">
        <f t="shared" si="4"/>
        <v>06363391001</v>
      </c>
      <c r="C244" t="s">
        <v>15</v>
      </c>
      <c r="D244" t="s">
        <v>591</v>
      </c>
      <c r="E244" t="s">
        <v>17</v>
      </c>
      <c r="F244" s="1" t="s">
        <v>156</v>
      </c>
      <c r="G244" t="s">
        <v>157</v>
      </c>
      <c r="H244">
        <v>29361.919999999998</v>
      </c>
      <c r="I244" s="2">
        <v>42736</v>
      </c>
      <c r="J244" s="2">
        <v>43008</v>
      </c>
      <c r="K244">
        <v>22021.35</v>
      </c>
    </row>
    <row r="245" spans="1:11" ht="360" x14ac:dyDescent="0.25">
      <c r="A245" t="str">
        <f>"5269382F92"</f>
        <v>5269382F92</v>
      </c>
      <c r="B245" t="str">
        <f t="shared" si="4"/>
        <v>06363391001</v>
      </c>
      <c r="C245" t="s">
        <v>15</v>
      </c>
      <c r="D245" t="s">
        <v>592</v>
      </c>
      <c r="E245" t="s">
        <v>186</v>
      </c>
      <c r="F245" s="1" t="s">
        <v>593</v>
      </c>
      <c r="G245" t="s">
        <v>594</v>
      </c>
      <c r="H245">
        <v>10104350.1</v>
      </c>
      <c r="I245" s="2">
        <v>42549</v>
      </c>
      <c r="J245" s="2">
        <v>43643</v>
      </c>
      <c r="K245">
        <v>605992.05000000005</v>
      </c>
    </row>
    <row r="246" spans="1:11" ht="409.5" x14ac:dyDescent="0.25">
      <c r="A246" t="str">
        <f>"526938955C"</f>
        <v>526938955C</v>
      </c>
      <c r="B246" t="str">
        <f t="shared" si="4"/>
        <v>06363391001</v>
      </c>
      <c r="C246" t="s">
        <v>15</v>
      </c>
      <c r="D246" t="s">
        <v>595</v>
      </c>
      <c r="E246" t="s">
        <v>186</v>
      </c>
      <c r="F246" s="1" t="s">
        <v>596</v>
      </c>
      <c r="G246" t="s">
        <v>597</v>
      </c>
      <c r="H246">
        <v>90651082.349999994</v>
      </c>
      <c r="I246" s="2">
        <v>42579</v>
      </c>
      <c r="J246" s="2">
        <v>43673</v>
      </c>
      <c r="K246">
        <v>12167206.16</v>
      </c>
    </row>
    <row r="247" spans="1:11" ht="409.5" x14ac:dyDescent="0.25">
      <c r="A247" t="str">
        <f>"526939497B"</f>
        <v>526939497B</v>
      </c>
      <c r="B247" t="str">
        <f t="shared" si="4"/>
        <v>06363391001</v>
      </c>
      <c r="C247" t="s">
        <v>15</v>
      </c>
      <c r="D247" t="s">
        <v>598</v>
      </c>
      <c r="E247" t="s">
        <v>186</v>
      </c>
      <c r="F247" s="1" t="s">
        <v>599</v>
      </c>
      <c r="G247" t="s">
        <v>597</v>
      </c>
      <c r="H247">
        <v>58683848.539999999</v>
      </c>
      <c r="I247" s="2">
        <v>42579</v>
      </c>
      <c r="J247" s="2">
        <v>43673</v>
      </c>
      <c r="K247">
        <v>15960962.449999999</v>
      </c>
    </row>
    <row r="248" spans="1:11" ht="409.5" x14ac:dyDescent="0.25">
      <c r="A248" t="str">
        <f>"5269398CC7"</f>
        <v>5269398CC7</v>
      </c>
      <c r="B248" t="str">
        <f t="shared" si="4"/>
        <v>06363391001</v>
      </c>
      <c r="C248" t="s">
        <v>15</v>
      </c>
      <c r="D248" t="s">
        <v>600</v>
      </c>
      <c r="E248" t="s">
        <v>186</v>
      </c>
      <c r="F248" s="1" t="s">
        <v>601</v>
      </c>
      <c r="G248" s="1" t="s">
        <v>602</v>
      </c>
      <c r="H248">
        <v>101667468</v>
      </c>
      <c r="I248" s="2">
        <v>42677</v>
      </c>
      <c r="J248" s="2">
        <v>43771</v>
      </c>
      <c r="K248">
        <v>17435253.829999998</v>
      </c>
    </row>
    <row r="249" spans="1:11" ht="135" x14ac:dyDescent="0.25">
      <c r="A249" t="str">
        <f>"Z9418C1F9D"</f>
        <v>Z9418C1F9D</v>
      </c>
      <c r="B249" t="str">
        <f t="shared" si="4"/>
        <v>06363391001</v>
      </c>
      <c r="C249" t="s">
        <v>15</v>
      </c>
      <c r="D249" t="s">
        <v>603</v>
      </c>
      <c r="E249" t="s">
        <v>17</v>
      </c>
      <c r="F249" s="1" t="s">
        <v>604</v>
      </c>
      <c r="G249" t="s">
        <v>605</v>
      </c>
      <c r="H249">
        <v>0</v>
      </c>
      <c r="I249" s="2">
        <v>42370</v>
      </c>
      <c r="J249" s="2">
        <v>43100</v>
      </c>
      <c r="K249">
        <v>312.72000000000003</v>
      </c>
    </row>
    <row r="250" spans="1:11" ht="90" x14ac:dyDescent="0.25">
      <c r="A250" t="str">
        <f>"ZA9194ABCC"</f>
        <v>ZA9194ABCC</v>
      </c>
      <c r="B250" t="str">
        <f t="shared" si="4"/>
        <v>06363391001</v>
      </c>
      <c r="C250" t="s">
        <v>15</v>
      </c>
      <c r="D250" t="s">
        <v>551</v>
      </c>
      <c r="E250" t="s">
        <v>17</v>
      </c>
      <c r="F250" s="1" t="s">
        <v>606</v>
      </c>
      <c r="G250" t="s">
        <v>607</v>
      </c>
      <c r="H250">
        <v>0</v>
      </c>
      <c r="I250" s="2">
        <v>42705</v>
      </c>
      <c r="J250" s="2">
        <v>43100</v>
      </c>
      <c r="K250">
        <v>3527.33</v>
      </c>
    </row>
    <row r="251" spans="1:11" ht="150" x14ac:dyDescent="0.25">
      <c r="A251" t="str">
        <f>"X7315D9DB6"</f>
        <v>X7315D9DB6</v>
      </c>
      <c r="B251" t="str">
        <f t="shared" si="4"/>
        <v>06363391001</v>
      </c>
      <c r="C251" t="s">
        <v>15</v>
      </c>
      <c r="D251" t="s">
        <v>608</v>
      </c>
      <c r="E251" t="s">
        <v>17</v>
      </c>
      <c r="F251" s="1" t="s">
        <v>609</v>
      </c>
      <c r="G251" t="s">
        <v>610</v>
      </c>
      <c r="H251">
        <v>0</v>
      </c>
      <c r="I251" s="2">
        <v>42370</v>
      </c>
      <c r="J251" s="2">
        <v>43100</v>
      </c>
      <c r="K251">
        <v>859.55</v>
      </c>
    </row>
    <row r="252" spans="1:11" ht="135" x14ac:dyDescent="0.25">
      <c r="A252" t="str">
        <f>"6559421D6F"</f>
        <v>6559421D6F</v>
      </c>
      <c r="B252" t="str">
        <f t="shared" si="4"/>
        <v>06363391001</v>
      </c>
      <c r="C252" t="s">
        <v>15</v>
      </c>
      <c r="D252" t="s">
        <v>233</v>
      </c>
      <c r="E252" t="s">
        <v>40</v>
      </c>
      <c r="F252" s="1" t="s">
        <v>212</v>
      </c>
      <c r="G252" t="s">
        <v>213</v>
      </c>
      <c r="H252">
        <v>16433.28</v>
      </c>
      <c r="I252" s="2">
        <v>42565</v>
      </c>
      <c r="J252" s="2">
        <v>44026</v>
      </c>
      <c r="K252">
        <v>11874.53</v>
      </c>
    </row>
    <row r="253" spans="1:11" ht="135" x14ac:dyDescent="0.25">
      <c r="A253" t="str">
        <f>"6559419BC9"</f>
        <v>6559419BC9</v>
      </c>
      <c r="B253" t="str">
        <f t="shared" si="4"/>
        <v>06363391001</v>
      </c>
      <c r="C253" t="s">
        <v>15</v>
      </c>
      <c r="D253" t="s">
        <v>233</v>
      </c>
      <c r="E253" t="s">
        <v>40</v>
      </c>
      <c r="F253" s="1" t="s">
        <v>212</v>
      </c>
      <c r="G253" t="s">
        <v>213</v>
      </c>
      <c r="H253">
        <v>16433.28</v>
      </c>
      <c r="I253" s="2">
        <v>42565</v>
      </c>
      <c r="J253" s="2">
        <v>44026</v>
      </c>
      <c r="K253">
        <v>8633.77</v>
      </c>
    </row>
    <row r="254" spans="1:11" ht="409.5" x14ac:dyDescent="0.25">
      <c r="A254" t="str">
        <f>"5866080A58"</f>
        <v>5866080A58</v>
      </c>
      <c r="B254" t="str">
        <f t="shared" si="4"/>
        <v>06363391001</v>
      </c>
      <c r="C254" t="s">
        <v>15</v>
      </c>
      <c r="D254" t="s">
        <v>611</v>
      </c>
      <c r="E254" t="s">
        <v>186</v>
      </c>
      <c r="F254" s="1" t="s">
        <v>612</v>
      </c>
      <c r="G254" s="1" t="s">
        <v>207</v>
      </c>
      <c r="H254">
        <v>2227724.88</v>
      </c>
      <c r="I254" s="2">
        <v>42454</v>
      </c>
      <c r="J254" s="2">
        <v>43852</v>
      </c>
      <c r="K254">
        <v>0</v>
      </c>
    </row>
    <row r="255" spans="1:11" ht="409.5" x14ac:dyDescent="0.25">
      <c r="A255" t="str">
        <f>"64252056E5"</f>
        <v>64252056E5</v>
      </c>
      <c r="B255" t="str">
        <f t="shared" si="4"/>
        <v>06363391001</v>
      </c>
      <c r="C255" t="s">
        <v>15</v>
      </c>
      <c r="D255" t="s">
        <v>613</v>
      </c>
      <c r="E255" t="s">
        <v>186</v>
      </c>
      <c r="F255" s="1" t="s">
        <v>614</v>
      </c>
      <c r="G255" t="s">
        <v>615</v>
      </c>
      <c r="H255">
        <v>1010000</v>
      </c>
      <c r="I255" s="2">
        <v>42639</v>
      </c>
      <c r="J255" s="2">
        <v>43368</v>
      </c>
      <c r="K255">
        <v>0</v>
      </c>
    </row>
    <row r="256" spans="1:11" ht="409.5" x14ac:dyDescent="0.25">
      <c r="A256" t="str">
        <f>"6425210B04"</f>
        <v>6425210B04</v>
      </c>
      <c r="B256" t="str">
        <f t="shared" si="4"/>
        <v>06363391001</v>
      </c>
      <c r="C256" t="s">
        <v>15</v>
      </c>
      <c r="D256" t="s">
        <v>616</v>
      </c>
      <c r="E256" t="s">
        <v>186</v>
      </c>
      <c r="F256" s="1" t="s">
        <v>614</v>
      </c>
      <c r="G256" t="s">
        <v>615</v>
      </c>
      <c r="H256">
        <v>1015000</v>
      </c>
      <c r="I256" s="2">
        <v>42639</v>
      </c>
      <c r="J256" s="2">
        <v>43368</v>
      </c>
      <c r="K256">
        <v>0</v>
      </c>
    </row>
    <row r="257" spans="1:11" ht="409.5" x14ac:dyDescent="0.25">
      <c r="A257" t="str">
        <f>"64252235C0"</f>
        <v>64252235C0</v>
      </c>
      <c r="B257" t="str">
        <f t="shared" si="4"/>
        <v>06363391001</v>
      </c>
      <c r="C257" t="s">
        <v>15</v>
      </c>
      <c r="D257" t="s">
        <v>617</v>
      </c>
      <c r="E257" t="s">
        <v>186</v>
      </c>
      <c r="F257" s="1" t="s">
        <v>614</v>
      </c>
      <c r="G257" t="s">
        <v>615</v>
      </c>
      <c r="H257">
        <v>909000</v>
      </c>
      <c r="I257" s="2">
        <v>42639</v>
      </c>
      <c r="J257" s="2">
        <v>43368</v>
      </c>
      <c r="K257">
        <v>0</v>
      </c>
    </row>
    <row r="258" spans="1:11" ht="409.5" x14ac:dyDescent="0.25">
      <c r="A258" t="str">
        <f>"64252170CE"</f>
        <v>64252170CE</v>
      </c>
      <c r="B258" t="str">
        <f t="shared" si="4"/>
        <v>06363391001</v>
      </c>
      <c r="C258" t="s">
        <v>15</v>
      </c>
      <c r="D258" t="s">
        <v>618</v>
      </c>
      <c r="E258" t="s">
        <v>186</v>
      </c>
      <c r="F258" s="1" t="s">
        <v>614</v>
      </c>
      <c r="G258" t="s">
        <v>615</v>
      </c>
      <c r="H258">
        <v>906000</v>
      </c>
      <c r="I258" s="2">
        <v>42639</v>
      </c>
      <c r="J258" s="2">
        <v>43368</v>
      </c>
      <c r="K258">
        <v>70189.710000000006</v>
      </c>
    </row>
    <row r="259" spans="1:11" ht="409.5" x14ac:dyDescent="0.25">
      <c r="A259" t="str">
        <f>"ZE31BB9A35"</f>
        <v>ZE31BB9A35</v>
      </c>
      <c r="B259" t="str">
        <f t="shared" si="4"/>
        <v>06363391001</v>
      </c>
      <c r="C259" t="s">
        <v>15</v>
      </c>
      <c r="D259" t="s">
        <v>619</v>
      </c>
      <c r="E259" t="s">
        <v>17</v>
      </c>
      <c r="F259" s="1" t="s">
        <v>620</v>
      </c>
      <c r="G259" t="s">
        <v>164</v>
      </c>
      <c r="H259">
        <v>23288</v>
      </c>
      <c r="I259" s="2">
        <v>42737</v>
      </c>
      <c r="J259" s="2">
        <v>43312</v>
      </c>
      <c r="K259">
        <v>13889.23</v>
      </c>
    </row>
    <row r="260" spans="1:11" ht="409.5" x14ac:dyDescent="0.25">
      <c r="A260" t="str">
        <f>"6767513864"</f>
        <v>6767513864</v>
      </c>
      <c r="B260" t="str">
        <f t="shared" si="4"/>
        <v>06363391001</v>
      </c>
      <c r="C260" t="s">
        <v>15</v>
      </c>
      <c r="D260" t="s">
        <v>621</v>
      </c>
      <c r="E260" t="s">
        <v>30</v>
      </c>
      <c r="F260" s="1" t="s">
        <v>622</v>
      </c>
      <c r="G260" t="s">
        <v>623</v>
      </c>
      <c r="H260">
        <v>200000</v>
      </c>
      <c r="I260" s="2">
        <v>42705</v>
      </c>
      <c r="J260" s="2">
        <v>43496</v>
      </c>
      <c r="K260">
        <v>143639.76999999999</v>
      </c>
    </row>
    <row r="261" spans="1:11" ht="135" x14ac:dyDescent="0.25">
      <c r="A261" t="str">
        <f>"6804394B8D"</f>
        <v>6804394B8D</v>
      </c>
      <c r="B261" t="str">
        <f t="shared" si="4"/>
        <v>06363391001</v>
      </c>
      <c r="C261" t="s">
        <v>15</v>
      </c>
      <c r="D261" t="s">
        <v>233</v>
      </c>
      <c r="E261" t="s">
        <v>40</v>
      </c>
      <c r="F261" s="1" t="s">
        <v>212</v>
      </c>
      <c r="G261" t="s">
        <v>213</v>
      </c>
      <c r="H261">
        <v>11927.04</v>
      </c>
      <c r="I261" s="2">
        <v>42744</v>
      </c>
      <c r="J261" s="2">
        <v>44205</v>
      </c>
      <c r="K261">
        <v>6238.04</v>
      </c>
    </row>
    <row r="262" spans="1:11" ht="135" x14ac:dyDescent="0.25">
      <c r="A262" t="str">
        <f>"68043810D6"</f>
        <v>68043810D6</v>
      </c>
      <c r="B262" t="str">
        <f t="shared" si="4"/>
        <v>06363391001</v>
      </c>
      <c r="C262" t="s">
        <v>15</v>
      </c>
      <c r="D262" t="s">
        <v>233</v>
      </c>
      <c r="E262" t="s">
        <v>40</v>
      </c>
      <c r="F262" s="1" t="s">
        <v>212</v>
      </c>
      <c r="G262" t="s">
        <v>213</v>
      </c>
      <c r="H262">
        <v>14979.84</v>
      </c>
      <c r="I262" s="2">
        <v>42776</v>
      </c>
      <c r="J262" s="2">
        <v>44237</v>
      </c>
      <c r="K262">
        <v>6865.76</v>
      </c>
    </row>
    <row r="263" spans="1:11" ht="120" x14ac:dyDescent="0.25">
      <c r="A263" t="str">
        <f>"XC9171FE6F"</f>
        <v>XC9171FE6F</v>
      </c>
      <c r="B263" t="str">
        <f t="shared" si="4"/>
        <v>06363391001</v>
      </c>
      <c r="C263" t="s">
        <v>15</v>
      </c>
      <c r="D263" t="s">
        <v>624</v>
      </c>
      <c r="E263" t="s">
        <v>419</v>
      </c>
      <c r="F263" s="1" t="s">
        <v>625</v>
      </c>
      <c r="G263" t="s">
        <v>626</v>
      </c>
      <c r="H263">
        <v>0</v>
      </c>
      <c r="I263" s="2">
        <v>42370</v>
      </c>
      <c r="J263" s="2">
        <v>43100</v>
      </c>
      <c r="K263">
        <v>55798.1</v>
      </c>
    </row>
    <row r="264" spans="1:11" ht="120" x14ac:dyDescent="0.25">
      <c r="A264" t="str">
        <f>"6559726922"</f>
        <v>6559726922</v>
      </c>
      <c r="B264" t="str">
        <f t="shared" si="4"/>
        <v>06363391001</v>
      </c>
      <c r="C264" t="s">
        <v>15</v>
      </c>
      <c r="D264" t="s">
        <v>627</v>
      </c>
      <c r="E264" t="s">
        <v>419</v>
      </c>
      <c r="F264" s="1" t="s">
        <v>628</v>
      </c>
      <c r="G264" t="s">
        <v>629</v>
      </c>
      <c r="H264">
        <v>0</v>
      </c>
      <c r="I264" s="2">
        <v>42370</v>
      </c>
      <c r="J264" s="2">
        <v>43100</v>
      </c>
      <c r="K264">
        <v>67563.509999999995</v>
      </c>
    </row>
    <row r="265" spans="1:11" ht="90" x14ac:dyDescent="0.25">
      <c r="A265" t="str">
        <f>"6575087D6D"</f>
        <v>6575087D6D</v>
      </c>
      <c r="B265" t="str">
        <f t="shared" si="4"/>
        <v>06363391001</v>
      </c>
      <c r="C265" t="s">
        <v>15</v>
      </c>
      <c r="D265" t="s">
        <v>630</v>
      </c>
      <c r="E265" t="s">
        <v>419</v>
      </c>
      <c r="F265" s="1" t="s">
        <v>631</v>
      </c>
      <c r="G265" t="s">
        <v>632</v>
      </c>
      <c r="H265">
        <v>0</v>
      </c>
      <c r="I265" s="2">
        <v>42370</v>
      </c>
      <c r="J265" s="2">
        <v>42735</v>
      </c>
      <c r="K265">
        <v>191442.06</v>
      </c>
    </row>
    <row r="266" spans="1:11" ht="90" x14ac:dyDescent="0.25">
      <c r="A266" s="3" t="str">
        <f>"XE318115A0"</f>
        <v>XE318115A0</v>
      </c>
      <c r="B266" s="3" t="str">
        <f t="shared" si="4"/>
        <v>06363391001</v>
      </c>
      <c r="C266" s="3" t="s">
        <v>15</v>
      </c>
      <c r="D266" s="3" t="s">
        <v>634</v>
      </c>
      <c r="E266" s="3" t="s">
        <v>419</v>
      </c>
      <c r="F266" s="4" t="s">
        <v>635</v>
      </c>
      <c r="G266" s="3" t="s">
        <v>636</v>
      </c>
      <c r="H266" s="3">
        <v>0</v>
      </c>
      <c r="I266" s="5">
        <v>42370</v>
      </c>
      <c r="J266" s="5">
        <v>43100</v>
      </c>
      <c r="K266" s="3">
        <v>47061.49</v>
      </c>
    </row>
    <row r="267" spans="1:11" ht="105" x14ac:dyDescent="0.25">
      <c r="A267" s="3" t="str">
        <f>"X60181159D"</f>
        <v>X60181159D</v>
      </c>
      <c r="B267" s="3" t="str">
        <f t="shared" si="4"/>
        <v>06363391001</v>
      </c>
      <c r="C267" s="3" t="s">
        <v>15</v>
      </c>
      <c r="D267" s="3" t="s">
        <v>637</v>
      </c>
      <c r="E267" s="3" t="s">
        <v>17</v>
      </c>
      <c r="F267" s="4" t="s">
        <v>638</v>
      </c>
      <c r="G267" s="3" t="s">
        <v>639</v>
      </c>
      <c r="H267" s="3">
        <v>0</v>
      </c>
      <c r="I267" s="5">
        <v>42705</v>
      </c>
      <c r="J267" s="5">
        <v>43100</v>
      </c>
      <c r="K267" s="3">
        <v>1710.52</v>
      </c>
    </row>
    <row r="268" spans="1:11" ht="90" x14ac:dyDescent="0.25">
      <c r="A268" s="3" t="str">
        <f>"X38181159E"</f>
        <v>X38181159E</v>
      </c>
      <c r="B268" s="3" t="str">
        <f t="shared" si="4"/>
        <v>06363391001</v>
      </c>
      <c r="C268" s="3" t="s">
        <v>15</v>
      </c>
      <c r="D268" s="3" t="s">
        <v>640</v>
      </c>
      <c r="E268" s="3" t="s">
        <v>17</v>
      </c>
      <c r="F268" s="4" t="s">
        <v>641</v>
      </c>
      <c r="G268" s="3" t="s">
        <v>642</v>
      </c>
      <c r="H268" s="3">
        <v>0</v>
      </c>
      <c r="I268" s="5">
        <v>42370</v>
      </c>
      <c r="J268" s="5">
        <v>43100</v>
      </c>
      <c r="K268" s="3">
        <v>2628.62</v>
      </c>
    </row>
    <row r="269" spans="1:11" ht="135" x14ac:dyDescent="0.25">
      <c r="A269" s="3" t="str">
        <f>"X10181159F"</f>
        <v>X10181159F</v>
      </c>
      <c r="B269" s="3" t="str">
        <f t="shared" si="4"/>
        <v>06363391001</v>
      </c>
      <c r="C269" s="3" t="s">
        <v>15</v>
      </c>
      <c r="D269" s="3" t="s">
        <v>643</v>
      </c>
      <c r="E269" s="3" t="s">
        <v>17</v>
      </c>
      <c r="F269" s="4" t="s">
        <v>644</v>
      </c>
      <c r="G269" s="3" t="s">
        <v>645</v>
      </c>
      <c r="H269" s="3">
        <v>0</v>
      </c>
      <c r="I269" s="5">
        <v>42370</v>
      </c>
      <c r="J269" s="5">
        <v>43100</v>
      </c>
      <c r="K269" s="3">
        <v>772.55</v>
      </c>
    </row>
    <row r="270" spans="1:11" ht="120" x14ac:dyDescent="0.25">
      <c r="A270" s="3" t="str">
        <f>"XD118115AD"</f>
        <v>XD118115AD</v>
      </c>
      <c r="B270" s="3" t="str">
        <f t="shared" si="4"/>
        <v>06363391001</v>
      </c>
      <c r="C270" s="3" t="s">
        <v>15</v>
      </c>
      <c r="D270" s="3" t="s">
        <v>646</v>
      </c>
      <c r="E270" s="3" t="s">
        <v>17</v>
      </c>
      <c r="F270" s="4" t="s">
        <v>647</v>
      </c>
      <c r="G270" s="3" t="s">
        <v>648</v>
      </c>
      <c r="H270" s="3">
        <v>0</v>
      </c>
      <c r="I270" s="5">
        <v>42370</v>
      </c>
      <c r="J270" s="5">
        <v>42735</v>
      </c>
      <c r="K270" s="3">
        <v>19041.900000000001</v>
      </c>
    </row>
    <row r="271" spans="1:11" ht="90" x14ac:dyDescent="0.25">
      <c r="A271" s="3" t="str">
        <f>"X3C18115B7"</f>
        <v>X3C18115B7</v>
      </c>
      <c r="B271" s="3" t="str">
        <f t="shared" si="4"/>
        <v>06363391001</v>
      </c>
      <c r="C271" s="3" t="s">
        <v>15</v>
      </c>
      <c r="D271" s="3" t="s">
        <v>649</v>
      </c>
      <c r="E271" s="3" t="s">
        <v>17</v>
      </c>
      <c r="F271" s="4" t="s">
        <v>650</v>
      </c>
      <c r="G271" s="3" t="s">
        <v>651</v>
      </c>
      <c r="H271" s="3">
        <v>0</v>
      </c>
      <c r="I271" s="5">
        <v>42370</v>
      </c>
      <c r="J271" s="5">
        <v>43100</v>
      </c>
      <c r="K271" s="3">
        <v>2550.54</v>
      </c>
    </row>
    <row r="272" spans="1:11" ht="90" x14ac:dyDescent="0.25">
      <c r="A272" s="3" t="str">
        <f>"X6418115B6"</f>
        <v>X6418115B6</v>
      </c>
      <c r="B272" s="3" t="str">
        <f t="shared" si="4"/>
        <v>06363391001</v>
      </c>
      <c r="C272" s="3" t="s">
        <v>15</v>
      </c>
      <c r="D272" s="3" t="s">
        <v>652</v>
      </c>
      <c r="E272" s="3" t="s">
        <v>17</v>
      </c>
      <c r="F272" s="4" t="s">
        <v>653</v>
      </c>
      <c r="G272" s="3" t="s">
        <v>654</v>
      </c>
      <c r="H272" s="3">
        <v>0</v>
      </c>
      <c r="I272" s="5">
        <v>42370</v>
      </c>
      <c r="J272" s="5">
        <v>43100</v>
      </c>
      <c r="K272" s="3">
        <v>58.27</v>
      </c>
    </row>
    <row r="273" spans="1:11" ht="135" x14ac:dyDescent="0.25">
      <c r="A273" s="3" t="str">
        <f>"65750742B6"</f>
        <v>65750742B6</v>
      </c>
      <c r="B273" s="3" t="str">
        <f t="shared" si="4"/>
        <v>06363391001</v>
      </c>
      <c r="C273" s="3" t="s">
        <v>15</v>
      </c>
      <c r="D273" s="3" t="s">
        <v>551</v>
      </c>
      <c r="E273" s="3" t="s">
        <v>419</v>
      </c>
      <c r="F273" s="4" t="s">
        <v>655</v>
      </c>
      <c r="G273" s="3" t="s">
        <v>656</v>
      </c>
      <c r="H273" s="3">
        <v>0</v>
      </c>
      <c r="I273" s="5">
        <v>42370</v>
      </c>
      <c r="J273" s="5">
        <v>42735</v>
      </c>
      <c r="K273" s="3">
        <v>131296</v>
      </c>
    </row>
    <row r="274" spans="1:11" ht="135" x14ac:dyDescent="0.25">
      <c r="A274" s="3" t="str">
        <f>"ZCB18F0301"</f>
        <v>ZCB18F0301</v>
      </c>
      <c r="B274" s="3" t="str">
        <f t="shared" si="4"/>
        <v>06363391001</v>
      </c>
      <c r="C274" s="3" t="s">
        <v>15</v>
      </c>
      <c r="D274" s="3" t="s">
        <v>657</v>
      </c>
      <c r="E274" s="3" t="s">
        <v>419</v>
      </c>
      <c r="F274" s="4" t="s">
        <v>658</v>
      </c>
      <c r="G274" s="3" t="s">
        <v>659</v>
      </c>
      <c r="H274" s="3">
        <v>0</v>
      </c>
      <c r="I274" s="5">
        <v>42370</v>
      </c>
      <c r="J274" s="5">
        <v>43100</v>
      </c>
      <c r="K274" s="3">
        <v>75683.509999999995</v>
      </c>
    </row>
    <row r="275" spans="1:11" ht="90" x14ac:dyDescent="0.25">
      <c r="A275" s="3" t="str">
        <f>"Z2B18F0305"</f>
        <v>Z2B18F0305</v>
      </c>
      <c r="B275" s="3" t="str">
        <f t="shared" si="4"/>
        <v>06363391001</v>
      </c>
      <c r="C275" s="3" t="s">
        <v>15</v>
      </c>
      <c r="D275" s="3" t="s">
        <v>660</v>
      </c>
      <c r="E275" s="3" t="s">
        <v>17</v>
      </c>
      <c r="F275" s="4" t="s">
        <v>661</v>
      </c>
      <c r="G275" s="3" t="s">
        <v>662</v>
      </c>
      <c r="H275" s="3">
        <v>0</v>
      </c>
      <c r="I275" s="5">
        <v>42370</v>
      </c>
      <c r="J275" s="5">
        <v>43100</v>
      </c>
      <c r="K275" s="3">
        <v>663.64</v>
      </c>
    </row>
    <row r="276" spans="1:11" ht="135" x14ac:dyDescent="0.25">
      <c r="A276" s="3" t="str">
        <f>"65597160E4"</f>
        <v>65597160E4</v>
      </c>
      <c r="B276" s="3" t="str">
        <f t="shared" si="4"/>
        <v>06363391001</v>
      </c>
      <c r="C276" s="3" t="s">
        <v>15</v>
      </c>
      <c r="D276" s="3" t="s">
        <v>663</v>
      </c>
      <c r="E276" s="3" t="s">
        <v>419</v>
      </c>
      <c r="F276" s="4" t="s">
        <v>664</v>
      </c>
      <c r="G276" s="3" t="s">
        <v>665</v>
      </c>
      <c r="H276" s="3">
        <v>0</v>
      </c>
      <c r="I276" s="5">
        <v>42370</v>
      </c>
      <c r="J276" s="5">
        <v>43100</v>
      </c>
      <c r="K276" s="3">
        <v>133761.20000000001</v>
      </c>
    </row>
    <row r="277" spans="1:11" ht="165" x14ac:dyDescent="0.25">
      <c r="A277" s="3" t="str">
        <f>"X180F07365"</f>
        <v>X180F07365</v>
      </c>
      <c r="B277" s="3" t="str">
        <f t="shared" si="4"/>
        <v>06363391001</v>
      </c>
      <c r="C277" s="3" t="s">
        <v>15</v>
      </c>
      <c r="D277" s="3" t="s">
        <v>666</v>
      </c>
      <c r="E277" s="3" t="s">
        <v>17</v>
      </c>
      <c r="F277" s="4" t="s">
        <v>203</v>
      </c>
      <c r="G277" s="3" t="s">
        <v>204</v>
      </c>
      <c r="H277" s="3">
        <v>0</v>
      </c>
      <c r="I277" s="5">
        <v>42460</v>
      </c>
      <c r="J277" s="5">
        <v>43100</v>
      </c>
      <c r="K277" s="3">
        <v>609.09</v>
      </c>
    </row>
    <row r="278" spans="1:11" ht="135" x14ac:dyDescent="0.25">
      <c r="A278" s="3" t="str">
        <f>"ZBE18C2026"</f>
        <v>ZBE18C2026</v>
      </c>
      <c r="B278" s="3" t="str">
        <f t="shared" si="4"/>
        <v>06363391001</v>
      </c>
      <c r="C278" s="3" t="s">
        <v>15</v>
      </c>
      <c r="D278" s="3" t="s">
        <v>667</v>
      </c>
      <c r="E278" s="3" t="s">
        <v>17</v>
      </c>
      <c r="F278" s="4" t="s">
        <v>668</v>
      </c>
      <c r="G278" s="3" t="s">
        <v>669</v>
      </c>
      <c r="H278" s="3">
        <v>0</v>
      </c>
      <c r="I278" s="5">
        <v>42370</v>
      </c>
      <c r="J278" s="5">
        <v>43100</v>
      </c>
      <c r="K278" s="3">
        <v>211.09</v>
      </c>
    </row>
    <row r="279" spans="1:11" ht="105" x14ac:dyDescent="0.25">
      <c r="A279" s="3" t="str">
        <f>"Z6419E9F16"</f>
        <v>Z6419E9F16</v>
      </c>
      <c r="B279" s="3" t="str">
        <f t="shared" si="4"/>
        <v>06363391001</v>
      </c>
      <c r="C279" s="3" t="s">
        <v>15</v>
      </c>
      <c r="D279" s="3" t="s">
        <v>670</v>
      </c>
      <c r="E279" s="3" t="s">
        <v>17</v>
      </c>
      <c r="F279" s="4" t="s">
        <v>671</v>
      </c>
      <c r="G279" s="4" t="s">
        <v>671</v>
      </c>
      <c r="H279" s="3">
        <v>0</v>
      </c>
      <c r="I279" s="5">
        <v>42370</v>
      </c>
      <c r="J279" s="5">
        <v>43100</v>
      </c>
      <c r="K279" s="3">
        <v>547.9</v>
      </c>
    </row>
    <row r="280" spans="1:11" ht="105" x14ac:dyDescent="0.25">
      <c r="A280" s="3" t="str">
        <f>"ZAC19E9EE2"</f>
        <v>ZAC19E9EE2</v>
      </c>
      <c r="B280" s="3" t="str">
        <f t="shared" si="4"/>
        <v>06363391001</v>
      </c>
      <c r="C280" s="3" t="s">
        <v>15</v>
      </c>
      <c r="D280" s="3" t="s">
        <v>672</v>
      </c>
      <c r="E280" s="3" t="s">
        <v>17</v>
      </c>
      <c r="F280" s="4" t="s">
        <v>673</v>
      </c>
      <c r="G280" s="3" t="s">
        <v>674</v>
      </c>
      <c r="H280" s="3">
        <v>0</v>
      </c>
      <c r="I280" s="5">
        <v>42370</v>
      </c>
      <c r="J280" s="5">
        <v>43100</v>
      </c>
      <c r="K280" s="3">
        <v>15444.38</v>
      </c>
    </row>
    <row r="281" spans="1:11" ht="150" x14ac:dyDescent="0.25">
      <c r="A281" s="3" t="str">
        <f>"ZBE19E9ED5"</f>
        <v>ZBE19E9ED5</v>
      </c>
      <c r="B281" s="3" t="str">
        <f t="shared" si="4"/>
        <v>06363391001</v>
      </c>
      <c r="C281" s="3" t="s">
        <v>15</v>
      </c>
      <c r="D281" s="3" t="s">
        <v>675</v>
      </c>
      <c r="E281" s="3" t="s">
        <v>17</v>
      </c>
      <c r="F281" s="4" t="s">
        <v>676</v>
      </c>
      <c r="G281" s="3" t="s">
        <v>677</v>
      </c>
      <c r="H281" s="3">
        <v>0</v>
      </c>
      <c r="I281" s="5">
        <v>42370</v>
      </c>
      <c r="J281" s="5">
        <v>43100</v>
      </c>
      <c r="K281" s="3">
        <v>1260.9000000000001</v>
      </c>
    </row>
    <row r="282" spans="1:11" ht="105" x14ac:dyDescent="0.25">
      <c r="A282" s="3" t="str">
        <f>"ZE31A041A9"</f>
        <v>ZE31A041A9</v>
      </c>
      <c r="B282" s="3" t="str">
        <f t="shared" si="4"/>
        <v>06363391001</v>
      </c>
      <c r="C282" s="3" t="s">
        <v>15</v>
      </c>
      <c r="D282" s="3" t="s">
        <v>678</v>
      </c>
      <c r="E282" s="3" t="s">
        <v>17</v>
      </c>
      <c r="F282" s="4" t="s">
        <v>679</v>
      </c>
      <c r="G282" s="3" t="s">
        <v>680</v>
      </c>
      <c r="H282" s="3">
        <v>0</v>
      </c>
      <c r="I282" s="5">
        <v>42370</v>
      </c>
      <c r="J282" s="5">
        <v>43100</v>
      </c>
      <c r="K282" s="3">
        <v>321.81</v>
      </c>
    </row>
    <row r="283" spans="1:11" ht="120" x14ac:dyDescent="0.25">
      <c r="A283" s="3" t="str">
        <f>"Z091A03FC5"</f>
        <v>Z091A03FC5</v>
      </c>
      <c r="B283" s="3" t="str">
        <f t="shared" si="4"/>
        <v>06363391001</v>
      </c>
      <c r="C283" s="3" t="s">
        <v>15</v>
      </c>
      <c r="D283" s="3" t="s">
        <v>681</v>
      </c>
      <c r="E283" s="3" t="s">
        <v>17</v>
      </c>
      <c r="F283" s="4" t="s">
        <v>682</v>
      </c>
      <c r="G283" s="3" t="s">
        <v>683</v>
      </c>
      <c r="H283" s="3">
        <v>0</v>
      </c>
      <c r="I283" s="5">
        <v>42370</v>
      </c>
      <c r="J283" s="5">
        <v>43100</v>
      </c>
      <c r="K283" s="3">
        <v>12777.27</v>
      </c>
    </row>
    <row r="284" spans="1:11" ht="165" x14ac:dyDescent="0.25">
      <c r="A284" s="3" t="str">
        <f>"X8C18115B5"</f>
        <v>X8C18115B5</v>
      </c>
      <c r="B284" s="3" t="str">
        <f t="shared" si="4"/>
        <v>06363391001</v>
      </c>
      <c r="C284" s="3" t="s">
        <v>15</v>
      </c>
      <c r="D284" s="3" t="s">
        <v>551</v>
      </c>
      <c r="E284" s="3" t="s">
        <v>17</v>
      </c>
      <c r="F284" s="4" t="s">
        <v>684</v>
      </c>
      <c r="G284" s="3" t="s">
        <v>685</v>
      </c>
      <c r="H284" s="3">
        <v>0</v>
      </c>
      <c r="I284" s="5">
        <v>42370</v>
      </c>
      <c r="J284" s="5">
        <v>43100</v>
      </c>
      <c r="K284" s="3">
        <v>8003.02</v>
      </c>
    </row>
    <row r="285" spans="1:11" ht="105" x14ac:dyDescent="0.25">
      <c r="A285" s="3" t="str">
        <f>"6626630411"</f>
        <v>6626630411</v>
      </c>
      <c r="B285" s="3" t="str">
        <f t="shared" si="4"/>
        <v>06363391001</v>
      </c>
      <c r="C285" s="3" t="s">
        <v>15</v>
      </c>
      <c r="D285" s="3" t="s">
        <v>686</v>
      </c>
      <c r="E285" s="3" t="s">
        <v>17</v>
      </c>
      <c r="F285" s="4" t="s">
        <v>687</v>
      </c>
      <c r="G285" s="3" t="s">
        <v>688</v>
      </c>
      <c r="H285" s="3">
        <v>0</v>
      </c>
      <c r="I285" s="5">
        <v>42370</v>
      </c>
      <c r="J285" s="5">
        <v>43100</v>
      </c>
      <c r="K285" s="3">
        <v>5654.97</v>
      </c>
    </row>
    <row r="286" spans="1:11" ht="105" x14ac:dyDescent="0.25">
      <c r="A286" s="3" t="str">
        <f>"Z2118C1FFE"</f>
        <v>Z2118C1FFE</v>
      </c>
      <c r="B286" s="3" t="str">
        <f t="shared" si="4"/>
        <v>06363391001</v>
      </c>
      <c r="C286" s="3" t="s">
        <v>15</v>
      </c>
      <c r="D286" s="3" t="s">
        <v>689</v>
      </c>
      <c r="E286" s="3" t="s">
        <v>17</v>
      </c>
      <c r="F286" s="4" t="s">
        <v>690</v>
      </c>
      <c r="G286" s="3" t="s">
        <v>691</v>
      </c>
      <c r="H286" s="3">
        <v>0</v>
      </c>
      <c r="I286" s="5">
        <v>42370</v>
      </c>
      <c r="J286" s="5">
        <v>43100</v>
      </c>
      <c r="K286" s="3">
        <v>2880.93</v>
      </c>
    </row>
    <row r="287" spans="1:11" ht="90" x14ac:dyDescent="0.25">
      <c r="A287" s="3" t="str">
        <f>"ZD618C1EC6"</f>
        <v>ZD618C1EC6</v>
      </c>
      <c r="B287" s="3" t="str">
        <f t="shared" si="4"/>
        <v>06363391001</v>
      </c>
      <c r="C287" s="3" t="s">
        <v>15</v>
      </c>
      <c r="D287" s="3" t="s">
        <v>692</v>
      </c>
      <c r="E287" s="3" t="s">
        <v>17</v>
      </c>
      <c r="F287" s="4" t="s">
        <v>693</v>
      </c>
      <c r="G287" s="3" t="s">
        <v>694</v>
      </c>
      <c r="H287" s="3">
        <v>0</v>
      </c>
      <c r="I287" s="5">
        <v>42370</v>
      </c>
      <c r="J287" s="5">
        <v>43100</v>
      </c>
      <c r="K287" s="3">
        <v>6801.94</v>
      </c>
    </row>
    <row r="288" spans="1:11" ht="90" x14ac:dyDescent="0.25">
      <c r="A288" s="3" t="str">
        <f>"Z0B18C1EF7"</f>
        <v>Z0B18C1EF7</v>
      </c>
      <c r="B288" s="3" t="str">
        <f t="shared" si="4"/>
        <v>06363391001</v>
      </c>
      <c r="C288" s="3" t="s">
        <v>15</v>
      </c>
      <c r="D288" s="3" t="s">
        <v>695</v>
      </c>
      <c r="E288" s="3" t="s">
        <v>17</v>
      </c>
      <c r="F288" s="4" t="s">
        <v>696</v>
      </c>
      <c r="G288" s="3" t="s">
        <v>697</v>
      </c>
      <c r="H288" s="3">
        <v>0</v>
      </c>
      <c r="I288" s="5">
        <v>42370</v>
      </c>
      <c r="J288" s="5">
        <v>43100</v>
      </c>
      <c r="K288" s="3">
        <v>838.23</v>
      </c>
    </row>
    <row r="289" spans="1:11" ht="120" x14ac:dyDescent="0.25">
      <c r="A289" s="3" t="str">
        <f>"Z8F18C203A"</f>
        <v>Z8F18C203A</v>
      </c>
      <c r="B289" s="3" t="str">
        <f t="shared" si="4"/>
        <v>06363391001</v>
      </c>
      <c r="C289" s="3" t="s">
        <v>15</v>
      </c>
      <c r="D289" s="3" t="s">
        <v>698</v>
      </c>
      <c r="E289" s="3" t="s">
        <v>17</v>
      </c>
      <c r="F289" s="4" t="s">
        <v>699</v>
      </c>
      <c r="G289" s="3" t="s">
        <v>700</v>
      </c>
      <c r="H289" s="3">
        <v>0</v>
      </c>
      <c r="I289" s="5">
        <v>42370</v>
      </c>
      <c r="J289" s="5">
        <v>43100</v>
      </c>
      <c r="K289" s="3">
        <v>7520.82</v>
      </c>
    </row>
    <row r="290" spans="1:11" ht="135" x14ac:dyDescent="0.25">
      <c r="A290" s="3" t="str">
        <f>"Z801A3DD0D"</f>
        <v>Z801A3DD0D</v>
      </c>
      <c r="B290" s="3" t="str">
        <f t="shared" si="4"/>
        <v>06363391001</v>
      </c>
      <c r="C290" s="3" t="s">
        <v>15</v>
      </c>
      <c r="D290" s="3" t="s">
        <v>701</v>
      </c>
      <c r="E290" s="3" t="s">
        <v>17</v>
      </c>
      <c r="F290" s="4" t="s">
        <v>702</v>
      </c>
      <c r="G290" s="3" t="s">
        <v>703</v>
      </c>
      <c r="H290" s="3">
        <v>0</v>
      </c>
      <c r="I290" s="5">
        <v>42370</v>
      </c>
      <c r="J290" s="5">
        <v>42369</v>
      </c>
      <c r="K290" s="3">
        <v>3323.42</v>
      </c>
    </row>
    <row r="291" spans="1:11" ht="90" x14ac:dyDescent="0.25">
      <c r="A291" s="3" t="str">
        <f>"Z6128C1FFD"</f>
        <v>Z6128C1FFD</v>
      </c>
      <c r="B291" s="3" t="str">
        <f t="shared" si="4"/>
        <v>06363391001</v>
      </c>
      <c r="C291" s="3" t="s">
        <v>15</v>
      </c>
      <c r="D291" s="3" t="s">
        <v>704</v>
      </c>
      <c r="E291" s="3" t="s">
        <v>17</v>
      </c>
      <c r="F291" s="4" t="s">
        <v>705</v>
      </c>
      <c r="G291" s="3" t="s">
        <v>706</v>
      </c>
      <c r="H291" s="3">
        <v>0</v>
      </c>
      <c r="I291" s="5">
        <v>42370</v>
      </c>
      <c r="J291" s="5">
        <v>43100</v>
      </c>
      <c r="K291" s="3">
        <v>436.36</v>
      </c>
    </row>
    <row r="292" spans="1:11" ht="105" x14ac:dyDescent="0.25">
      <c r="A292" s="3" t="str">
        <f>"Z0919Z840Z"</f>
        <v>Z0919Z840Z</v>
      </c>
      <c r="B292" s="3" t="str">
        <f t="shared" si="4"/>
        <v>06363391001</v>
      </c>
      <c r="C292" s="3" t="s">
        <v>15</v>
      </c>
      <c r="D292" s="3" t="s">
        <v>707</v>
      </c>
      <c r="E292" s="3" t="s">
        <v>17</v>
      </c>
      <c r="F292" s="4" t="s">
        <v>708</v>
      </c>
      <c r="G292" s="3" t="s">
        <v>709</v>
      </c>
      <c r="H292" s="3">
        <v>0</v>
      </c>
      <c r="I292" s="5">
        <v>42370</v>
      </c>
      <c r="J292" s="5">
        <v>43100</v>
      </c>
      <c r="K292" s="3">
        <v>443.82</v>
      </c>
    </row>
    <row r="293" spans="1:11" ht="105" x14ac:dyDescent="0.25">
      <c r="A293" s="3" t="str">
        <f>"Z9218C200E"</f>
        <v>Z9218C200E</v>
      </c>
      <c r="B293" s="3" t="str">
        <f t="shared" si="4"/>
        <v>06363391001</v>
      </c>
      <c r="C293" s="3" t="s">
        <v>15</v>
      </c>
      <c r="D293" s="3" t="s">
        <v>710</v>
      </c>
      <c r="E293" s="3" t="s">
        <v>17</v>
      </c>
      <c r="F293" s="4" t="s">
        <v>711</v>
      </c>
      <c r="G293" s="3" t="s">
        <v>712</v>
      </c>
      <c r="H293" s="3">
        <v>0</v>
      </c>
      <c r="I293" s="5">
        <v>42370</v>
      </c>
      <c r="J293" s="5">
        <v>43100</v>
      </c>
      <c r="K293" s="3">
        <v>1722.73</v>
      </c>
    </row>
    <row r="294" spans="1:11" ht="105" x14ac:dyDescent="0.25">
      <c r="A294" s="3" t="str">
        <f>"X3B171FE66"</f>
        <v>X3B171FE66</v>
      </c>
      <c r="B294" s="3" t="str">
        <f t="shared" si="4"/>
        <v>06363391001</v>
      </c>
      <c r="C294" s="3" t="s">
        <v>15</v>
      </c>
      <c r="D294" s="3" t="s">
        <v>713</v>
      </c>
      <c r="E294" s="3" t="s">
        <v>17</v>
      </c>
      <c r="F294" s="4" t="s">
        <v>714</v>
      </c>
      <c r="G294" s="3" t="s">
        <v>715</v>
      </c>
      <c r="H294" s="3">
        <v>0</v>
      </c>
      <c r="I294" s="5">
        <v>42370</v>
      </c>
      <c r="J294" s="5">
        <v>43100</v>
      </c>
      <c r="K294" s="3">
        <v>90</v>
      </c>
    </row>
    <row r="295" spans="1:11" ht="150" x14ac:dyDescent="0.25">
      <c r="A295" s="3" t="str">
        <f>"X9E18115A8"</f>
        <v>X9E18115A8</v>
      </c>
      <c r="B295" s="3" t="str">
        <f t="shared" si="4"/>
        <v>06363391001</v>
      </c>
      <c r="C295" s="3" t="s">
        <v>15</v>
      </c>
      <c r="D295" s="3" t="s">
        <v>716</v>
      </c>
      <c r="E295" s="3" t="s">
        <v>17</v>
      </c>
      <c r="F295" s="4" t="s">
        <v>717</v>
      </c>
      <c r="G295" s="3" t="s">
        <v>718</v>
      </c>
      <c r="H295" s="3">
        <v>0</v>
      </c>
      <c r="I295" s="5">
        <v>42370</v>
      </c>
      <c r="J295" s="5">
        <v>43100</v>
      </c>
      <c r="K295" s="3">
        <v>22921.58</v>
      </c>
    </row>
    <row r="296" spans="1:11" ht="105" x14ac:dyDescent="0.25">
      <c r="A296" s="3" t="str">
        <f>"651429022B"</f>
        <v>651429022B</v>
      </c>
      <c r="B296" s="3" t="str">
        <f t="shared" si="4"/>
        <v>06363391001</v>
      </c>
      <c r="C296" s="3" t="s">
        <v>15</v>
      </c>
      <c r="D296" s="3" t="s">
        <v>719</v>
      </c>
      <c r="E296" s="3" t="s">
        <v>419</v>
      </c>
      <c r="F296" s="4" t="s">
        <v>720</v>
      </c>
      <c r="G296" s="3" t="s">
        <v>721</v>
      </c>
      <c r="H296" s="3">
        <v>0</v>
      </c>
      <c r="I296" s="5">
        <v>42370</v>
      </c>
      <c r="J296" s="5">
        <v>43100</v>
      </c>
      <c r="K296" s="3">
        <v>203625.8</v>
      </c>
    </row>
    <row r="297" spans="1:11" ht="105" x14ac:dyDescent="0.25">
      <c r="A297" s="3" t="str">
        <f>"X2315D9DB8"</f>
        <v>X2315D9DB8</v>
      </c>
      <c r="B297" s="3" t="str">
        <f t="shared" si="4"/>
        <v>06363391001</v>
      </c>
      <c r="C297" s="3" t="s">
        <v>15</v>
      </c>
      <c r="D297" s="3" t="s">
        <v>722</v>
      </c>
      <c r="E297" s="3" t="s">
        <v>17</v>
      </c>
      <c r="F297" s="4" t="s">
        <v>723</v>
      </c>
      <c r="G297" s="3" t="s">
        <v>724</v>
      </c>
      <c r="H297" s="3">
        <v>0</v>
      </c>
      <c r="I297" s="5">
        <v>42370</v>
      </c>
      <c r="J297" s="5">
        <v>43100</v>
      </c>
      <c r="K297" s="3">
        <v>550.46</v>
      </c>
    </row>
    <row r="298" spans="1:11" ht="105" x14ac:dyDescent="0.25">
      <c r="A298" s="3" t="str">
        <f>"XF615D9DB9"</f>
        <v>XF615D9DB9</v>
      </c>
      <c r="B298" s="3" t="str">
        <f t="shared" si="4"/>
        <v>06363391001</v>
      </c>
      <c r="C298" s="3" t="s">
        <v>15</v>
      </c>
      <c r="D298" s="3" t="s">
        <v>725</v>
      </c>
      <c r="E298" s="3" t="s">
        <v>17</v>
      </c>
      <c r="F298" s="4" t="s">
        <v>726</v>
      </c>
      <c r="G298" s="3" t="s">
        <v>727</v>
      </c>
      <c r="H298" s="3">
        <v>0</v>
      </c>
      <c r="I298" s="5">
        <v>42370</v>
      </c>
      <c r="J298" s="5">
        <v>43100</v>
      </c>
      <c r="K298" s="3">
        <v>6504.61</v>
      </c>
    </row>
    <row r="299" spans="1:11" ht="105" x14ac:dyDescent="0.25">
      <c r="A299" s="3" t="str">
        <f>"X46171FE6C"</f>
        <v>X46171FE6C</v>
      </c>
      <c r="B299" s="3" t="str">
        <f t="shared" si="4"/>
        <v>06363391001</v>
      </c>
      <c r="C299" s="3" t="s">
        <v>15</v>
      </c>
      <c r="D299" s="3" t="s">
        <v>728</v>
      </c>
      <c r="E299" s="3" t="s">
        <v>17</v>
      </c>
      <c r="F299" s="4" t="s">
        <v>729</v>
      </c>
      <c r="G299" s="3" t="s">
        <v>730</v>
      </c>
      <c r="H299" s="3">
        <v>0</v>
      </c>
      <c r="I299" s="5">
        <v>42705</v>
      </c>
      <c r="J299" s="5">
        <v>43100</v>
      </c>
      <c r="K299" s="3">
        <v>2206.9</v>
      </c>
    </row>
    <row r="300" spans="1:11" ht="75" x14ac:dyDescent="0.25">
      <c r="A300" s="3" t="str">
        <f>"X96171FE6A"</f>
        <v>X96171FE6A</v>
      </c>
      <c r="B300" s="3" t="str">
        <f t="shared" si="4"/>
        <v>06363391001</v>
      </c>
      <c r="C300" s="3" t="s">
        <v>15</v>
      </c>
      <c r="D300" s="3" t="s">
        <v>731</v>
      </c>
      <c r="E300" s="3" t="s">
        <v>17</v>
      </c>
      <c r="F300" s="4" t="s">
        <v>732</v>
      </c>
      <c r="G300" s="3" t="s">
        <v>733</v>
      </c>
      <c r="H300" s="3">
        <v>0</v>
      </c>
      <c r="I300" s="5">
        <v>42370</v>
      </c>
      <c r="J300" s="5">
        <v>43100</v>
      </c>
      <c r="K300" s="3">
        <v>944.07</v>
      </c>
    </row>
    <row r="301" spans="1:11" ht="180" x14ac:dyDescent="0.25">
      <c r="A301" s="3" t="str">
        <f>"X08171FE61"</f>
        <v>X08171FE61</v>
      </c>
      <c r="B301" s="3" t="str">
        <f t="shared" si="4"/>
        <v>06363391001</v>
      </c>
      <c r="C301" s="3" t="s">
        <v>15</v>
      </c>
      <c r="D301" s="3" t="s">
        <v>734</v>
      </c>
      <c r="E301" s="3" t="s">
        <v>17</v>
      </c>
      <c r="F301" s="4" t="s">
        <v>735</v>
      </c>
      <c r="G301" s="3" t="s">
        <v>736</v>
      </c>
      <c r="H301" s="3">
        <v>0</v>
      </c>
      <c r="I301" s="5">
        <v>42370</v>
      </c>
      <c r="J301" s="5">
        <v>43100</v>
      </c>
      <c r="K301" s="3">
        <v>3056.03</v>
      </c>
    </row>
    <row r="302" spans="1:11" ht="105" x14ac:dyDescent="0.25">
      <c r="A302" s="3" t="str">
        <f>"X4B15D9DB7"</f>
        <v>X4B15D9DB7</v>
      </c>
      <c r="B302" s="3" t="str">
        <f t="shared" si="4"/>
        <v>06363391001</v>
      </c>
      <c r="C302" s="3" t="s">
        <v>15</v>
      </c>
      <c r="D302" s="3" t="s">
        <v>737</v>
      </c>
      <c r="E302" s="3" t="s">
        <v>17</v>
      </c>
      <c r="F302" s="4" t="s">
        <v>738</v>
      </c>
      <c r="G302" s="3" t="s">
        <v>739</v>
      </c>
      <c r="H302" s="3">
        <v>0</v>
      </c>
      <c r="I302" s="5">
        <v>42370</v>
      </c>
      <c r="J302" s="5">
        <v>43100</v>
      </c>
      <c r="K302" s="3">
        <v>3208.17</v>
      </c>
    </row>
    <row r="303" spans="1:11" ht="105" x14ac:dyDescent="0.25">
      <c r="A303" s="3" t="str">
        <f>"6672804C0C"</f>
        <v>6672804C0C</v>
      </c>
      <c r="B303" s="3" t="str">
        <f t="shared" si="4"/>
        <v>06363391001</v>
      </c>
      <c r="C303" s="3" t="s">
        <v>15</v>
      </c>
      <c r="D303" s="3" t="s">
        <v>740</v>
      </c>
      <c r="E303" s="3" t="s">
        <v>419</v>
      </c>
      <c r="F303" s="4" t="s">
        <v>741</v>
      </c>
      <c r="G303" s="3" t="s">
        <v>742</v>
      </c>
      <c r="H303" s="3">
        <v>0</v>
      </c>
      <c r="I303" s="5">
        <v>42430</v>
      </c>
      <c r="J303" s="5">
        <v>42794</v>
      </c>
      <c r="K303" s="3">
        <v>74189.37</v>
      </c>
    </row>
    <row r="304" spans="1:11" ht="105" x14ac:dyDescent="0.25">
      <c r="A304" s="3" t="str">
        <f>"X1E171FE6D"</f>
        <v>X1E171FE6D</v>
      </c>
      <c r="B304" s="3" t="str">
        <f t="shared" ref="B304:B308" si="5">"06363391001"</f>
        <v>06363391001</v>
      </c>
      <c r="C304" s="3" t="s">
        <v>15</v>
      </c>
      <c r="D304" s="3" t="s">
        <v>743</v>
      </c>
      <c r="E304" s="3" t="s">
        <v>17</v>
      </c>
      <c r="F304" s="4" t="s">
        <v>744</v>
      </c>
      <c r="G304" s="3" t="s">
        <v>745</v>
      </c>
      <c r="H304" s="3">
        <v>0</v>
      </c>
      <c r="I304" s="5">
        <v>42370</v>
      </c>
      <c r="J304" s="5">
        <v>43100</v>
      </c>
      <c r="K304" s="3">
        <v>4047.52</v>
      </c>
    </row>
    <row r="305" spans="1:11" ht="90" x14ac:dyDescent="0.25">
      <c r="A305" s="3" t="str">
        <f>"X63171FE65"</f>
        <v>X63171FE65</v>
      </c>
      <c r="B305" s="3" t="str">
        <f t="shared" si="5"/>
        <v>06363391001</v>
      </c>
      <c r="C305" s="3" t="s">
        <v>15</v>
      </c>
      <c r="D305" s="3" t="s">
        <v>746</v>
      </c>
      <c r="E305" s="3" t="s">
        <v>17</v>
      </c>
      <c r="F305" s="4" t="s">
        <v>747</v>
      </c>
      <c r="G305" s="3" t="s">
        <v>748</v>
      </c>
      <c r="H305" s="3">
        <v>0</v>
      </c>
      <c r="I305" s="5">
        <v>42370</v>
      </c>
      <c r="J305" s="5">
        <v>43100</v>
      </c>
      <c r="K305" s="3">
        <v>212.73</v>
      </c>
    </row>
    <row r="306" spans="1:11" ht="105" x14ac:dyDescent="0.25">
      <c r="A306" s="3" t="str">
        <f>"ZCD1AC1743"</f>
        <v>ZCD1AC1743</v>
      </c>
      <c r="B306" s="3" t="str">
        <f t="shared" si="5"/>
        <v>06363391001</v>
      </c>
      <c r="C306" s="3" t="s">
        <v>15</v>
      </c>
      <c r="D306" s="3" t="s">
        <v>749</v>
      </c>
      <c r="E306" s="3" t="s">
        <v>17</v>
      </c>
      <c r="F306" s="4" t="s">
        <v>750</v>
      </c>
      <c r="G306" s="3" t="s">
        <v>751</v>
      </c>
      <c r="H306" s="3">
        <v>0</v>
      </c>
      <c r="I306" s="5">
        <v>42370</v>
      </c>
      <c r="J306" s="5">
        <v>43100</v>
      </c>
      <c r="K306" s="3">
        <v>9729.65</v>
      </c>
    </row>
    <row r="307" spans="1:11" ht="105" x14ac:dyDescent="0.25">
      <c r="A307" s="3" t="str">
        <f>"Z0F1B31E32"</f>
        <v>Z0F1B31E32</v>
      </c>
      <c r="B307" s="3" t="str">
        <f t="shared" si="5"/>
        <v>06363391001</v>
      </c>
      <c r="C307" s="3" t="s">
        <v>15</v>
      </c>
      <c r="D307" s="3" t="s">
        <v>551</v>
      </c>
      <c r="E307" s="3" t="s">
        <v>419</v>
      </c>
      <c r="F307" s="4" t="s">
        <v>752</v>
      </c>
      <c r="G307" s="3" t="s">
        <v>753</v>
      </c>
      <c r="H307" s="3">
        <v>0</v>
      </c>
      <c r="I307" s="5">
        <v>42370</v>
      </c>
      <c r="J307" s="5">
        <v>43100</v>
      </c>
      <c r="K307" s="3">
        <v>84670.1</v>
      </c>
    </row>
    <row r="308" spans="1:11" ht="90" x14ac:dyDescent="0.25">
      <c r="A308" s="3" t="str">
        <f>"Z68194ABED"</f>
        <v>Z68194ABED</v>
      </c>
      <c r="B308" s="3" t="str">
        <f t="shared" si="5"/>
        <v>06363391001</v>
      </c>
      <c r="C308" s="3" t="s">
        <v>15</v>
      </c>
      <c r="D308" s="3" t="s">
        <v>551</v>
      </c>
      <c r="E308" s="3" t="s">
        <v>17</v>
      </c>
      <c r="F308" s="4" t="s">
        <v>754</v>
      </c>
      <c r="G308" s="3" t="s">
        <v>755</v>
      </c>
      <c r="H308" s="3">
        <v>0</v>
      </c>
      <c r="I308" s="5">
        <v>42370</v>
      </c>
      <c r="J308" s="5">
        <v>43100</v>
      </c>
      <c r="K308" s="3">
        <v>337.55</v>
      </c>
    </row>
    <row r="309" spans="1:11" ht="150" x14ac:dyDescent="0.25">
      <c r="A309" s="3" t="str">
        <f>"Z462450E18"</f>
        <v>Z462450E18</v>
      </c>
      <c r="B309" s="3" t="str">
        <f>"06363391001"</f>
        <v>06363391001</v>
      </c>
      <c r="C309" s="3" t="s">
        <v>15</v>
      </c>
      <c r="D309" s="3" t="s">
        <v>551</v>
      </c>
      <c r="E309" s="3" t="s">
        <v>17</v>
      </c>
      <c r="F309" s="4" t="s">
        <v>756</v>
      </c>
      <c r="G309" s="4" t="s">
        <v>756</v>
      </c>
      <c r="H309" s="3">
        <v>0</v>
      </c>
      <c r="I309" s="5">
        <v>42370</v>
      </c>
      <c r="J309" s="5">
        <v>43100</v>
      </c>
      <c r="K309" s="3">
        <v>1556.28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direzionicentrali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2019-01-29T16:11:35Z</dcterms:created>
  <dcterms:modified xsi:type="dcterms:W3CDTF">2019-01-29T16:47:02Z</dcterms:modified>
</cp:coreProperties>
</file>