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pgrl70s11h501u\Desktop\xlsx 2021\"/>
    </mc:Choice>
  </mc:AlternateContent>
  <bookViews>
    <workbookView xWindow="0" yWindow="0" windowWidth="38400" windowHeight="17100"/>
  </bookViews>
  <sheets>
    <sheet name="direzionicentrali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</calcChain>
</file>

<file path=xl/sharedStrings.xml><?xml version="1.0" encoding="utf-8"?>
<sst xmlns="http://schemas.openxmlformats.org/spreadsheetml/2006/main" count="2021" uniqueCount="842">
  <si>
    <t>Agenzia delle Entrate</t>
  </si>
  <si>
    <t>CF 06363391001</t>
  </si>
  <si>
    <t>Contratti di forniture, beni e servizi</t>
  </si>
  <si>
    <t>Anno 2021</t>
  </si>
  <si>
    <t>Dati aggiornati al 27-01-2022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</si>
  <si>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</si>
  <si>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</si>
  <si>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</si>
  <si>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</si>
  <si>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</si>
  <si>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</si>
  <si>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</si>
  <si>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</si>
  <si>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</si>
  <si>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</si>
  <si>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</si>
  <si>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DC LOGISTICA E APPROVVIGIONAMENTI</t>
  </si>
  <si>
    <t>Adesione Convenzione Consip Telefonia Fissa 5</t>
  </si>
  <si>
    <t>26-AFFIDAMENTO DIRETTO IN ADESIONE AD ACCORDO QUADRO/CONVENZIONE</t>
  </si>
  <si>
    <t xml:space="preserve">FASTWEB S.P.A. (CF: 12878470157)
</t>
  </si>
  <si>
    <t>FASTWEB S.P.A. (CF: 12878470157)</t>
  </si>
  <si>
    <t>Adesione Convenzione Consip Telefonia Mobile 7</t>
  </si>
  <si>
    <t xml:space="preserve">TELECOM ITALIA S.P.A. (CF: 00488410010)
</t>
  </si>
  <si>
    <t>TELECOM ITALIA S.P.A. (CF: 00488410010)</t>
  </si>
  <si>
    <t>Servizi telefonia mobile</t>
  </si>
  <si>
    <t>Pellicole controllo solare Film polimerico ad alta aderenza specifico per il controllo termico degli ambienti</t>
  </si>
  <si>
    <t>23-AFFIDAMENTO DIRETTO</t>
  </si>
  <si>
    <t xml:space="preserve">PROSPETTIVA SRL (CF: 02060730591)
</t>
  </si>
  <si>
    <t>PROSPETTIVA SRL (CF: 02060730591)</t>
  </si>
  <si>
    <t>Gas naturale 6 Via Colombo</t>
  </si>
  <si>
    <t xml:space="preserve">ESTRA ENERGIE SRL (CF: 01219980529)
</t>
  </si>
  <si>
    <t>ESTRA ENERGIE SRL (CF: 01219980529)</t>
  </si>
  <si>
    <t>ALBERGO PRINCIPE AMEDEO - CONVENZIONE</t>
  </si>
  <si>
    <t xml:space="preserve">ALBERGO PRINCIPE AMEDEO S.R.L. (CF: 04955750486)
</t>
  </si>
  <si>
    <t>ALBERGO PRINCIPE AMEDEO S.R.L. (CF: 04955750486)</t>
  </si>
  <si>
    <t>Lavori di ripristino dell'impianto CDZ pompa di calore a servizio della cucina e della mensa sita in via Giorgione - sostituzione centralina chiller e display</t>
  </si>
  <si>
    <t xml:space="preserve">ZANZI SERVIZI SPA (CF: 04572551002)
</t>
  </si>
  <si>
    <t>ZANZI SERVIZI SPA (CF: 04572551002)</t>
  </si>
  <si>
    <t>Noleggio autovettura Veneto</t>
  </si>
  <si>
    <t xml:space="preserve">ALD AUTOMOTIVE ITALIA S.R.L. (CF: 07978810583)
</t>
  </si>
  <si>
    <t>ALD AUTOMOTIVE ITALIA S.R.L. (CF: 07978810583)</t>
  </si>
  <si>
    <t>Utenze Colombo Giorgione Licini</t>
  </si>
  <si>
    <t xml:space="preserve">GALA SPA (CF: 06832931007)
</t>
  </si>
  <si>
    <t>GALA SPA (CF: 06832931007)</t>
  </si>
  <si>
    <t>Noleggio autovettura</t>
  </si>
  <si>
    <t>Energia elettrica Largo Leopardi</t>
  </si>
  <si>
    <t>Noleggio fotocopiatore</t>
  </si>
  <si>
    <t xml:space="preserve">CONVERGE S.P.A. (CF: 04472901000)
</t>
  </si>
  <si>
    <t>CONVERGE S.P.A. (CF: 04472901000)</t>
  </si>
  <si>
    <t>Noleggio fotocopiatori</t>
  </si>
  <si>
    <t>Servizi di connettivitÃ  e di interoperabilitÃ  SPC 2</t>
  </si>
  <si>
    <t>Noleggio 6 Fotocopiatori - sede Colombo</t>
  </si>
  <si>
    <t xml:space="preserve">KYOCERA DOCUMENT SOLUTION ITALIA SPA (CF: 01788080156)
</t>
  </si>
  <si>
    <t>KYOCERA DOCUMENT SOLUTION ITALIA SPA (CF: 01788080156)</t>
  </si>
  <si>
    <t>Noleggio 2 Fotocopiatori - sede Colombo</t>
  </si>
  <si>
    <t>Servizio di traduzione degli atti di natura giuridico-fiscale dell'Agenzia</t>
  </si>
  <si>
    <t>04-PROCEDURA NEGOZIATA SENZA PREVIA PUBBLICAZIONE</t>
  </si>
  <si>
    <t xml:space="preserve">ACTIVE LANGUAGES SRL (CF: 03409990243)
AUTHENTIC ENTERPRISE SOLUTIONS SRL (CF: 09342931004)
BLOOMSBURY SRL (CF: 02119640684)
KAEDRA SRL (CF: 03236850248)
LEXIS SRL (CF: 03916280484)
</t>
  </si>
  <si>
    <t>AUTHENTIC ENTERPRISE SOLUTIONS SRL (CF: 09342931004)</t>
  </si>
  <si>
    <t>Buoni pasto elettronici per DC</t>
  </si>
  <si>
    <t xml:space="preserve">DAY RISTOSERVICE S.P.A. (CF: 03543000370)
</t>
  </si>
  <si>
    <t>DAY RISTOSERVICE S.P.A. (CF: 03543000370)</t>
  </si>
  <si>
    <t>Copertura assicurativa - Lotto I (Infortuni/Kasko)</t>
  </si>
  <si>
    <t>01-PROCEDURA APERTA</t>
  </si>
  <si>
    <t xml:space="preserve">UNIPOLSAI ASSICURAZIONI SPA (CF: 00818570012)
</t>
  </si>
  <si>
    <t>UNIPOLSAI ASSICURAZIONI SPA (CF: 00818570012)</t>
  </si>
  <si>
    <t>Copertura assicurativa - Lotto II RCT/RCO</t>
  </si>
  <si>
    <t xml:space="preserve">GENERALI ITALIA S.P.A. (CF: 00409920584)
HDI ASSICURAZIONI S.P.A. (CF: 04349061004)
ITAS MUTUA (CF: 00110750221)
NOBIS COMPAGNIA DI ASSICURAZIONI SPA (CF: 01757980923)
UNIPOLSAI ASSICURAZIONI SPA (CF: 00818570012)
</t>
  </si>
  <si>
    <t>GENERALI ITALIA S.P.A. (CF: 00409920584)</t>
  </si>
  <si>
    <t>Copertura assicurativa - Lotto III All risks</t>
  </si>
  <si>
    <t xml:space="preserve">AXA ASSICURAZIONI S.P.A (CF: 00902170018)
GENERALI ITALIA S.P.A. (CF: 00409920584)
HELVETIA COMPAGNIA SVIZZERA D'ASSICURAZIONI SA (CF: 01462690155)
ITAS MUTUA (CF: 00110750221)
UNIPOLSAI ASSICURAZIONI SPA (CF: 00818570012)
</t>
  </si>
  <si>
    <t>Servizio di web hosting e housing del sito internet fiscoggi.it</t>
  </si>
  <si>
    <t xml:space="preserve">ARUBA SPA (CF: 04552920482)
ITNET SRL (CF: 03458800103)
PA DIGITALE ADRIATICA SRL (CF: 01647100708)
SEEWEB SRL (CF: 02043220603)
UNIDATA SPA (CF: 06187081002)
</t>
  </si>
  <si>
    <t>ARUBA SPA (CF: 04552920482)</t>
  </si>
  <si>
    <t>Servizio di erogazione e consultazione di sistemi documentali giuridici online nelle materie fiscali, bilancio e legale attraverso il portale intranet dell'Agenzia</t>
  </si>
  <si>
    <t xml:space="preserve">BUREAU VAN DIJK EDIZIONI ELETTRONICHE SPA (CF: 11139860156)
DATABANK SRL (CF: 02846140925)
EDITRICE S.I.F.I.C SRL (CF: 00205740426)
LADYBIRD SRL (CF: 10816460017)
WOLTERS KLUWER ITALIA SRL (CF: 10209790152)
</t>
  </si>
  <si>
    <t>WOLTERS KLUWER ITALIA SRL (CF: 10209790152)</t>
  </si>
  <si>
    <t>Incarico di interpretariato LIS per il giorno 23/03/2018</t>
  </si>
  <si>
    <t xml:space="preserve">LO BELLO ANNA (CF: LBLNNA81C48H501G)
MARRAS ALESSANDRA (CF: MRRLSN79R61B354L)
THOMAS BUHLING (CF: bhltms63p16z112e)
VESSIA GIOVANNA (CF: VSSGNN83L54H657H)
</t>
  </si>
  <si>
    <t>VESSIA GIOVANNA (CF: VSSGNN83L54H657H)</t>
  </si>
  <si>
    <t>Noleggio multifunzione TASKalfa 3511i</t>
  </si>
  <si>
    <t>Utenza elettrica Giorgione, Colombo, Licini</t>
  </si>
  <si>
    <t xml:space="preserve">ENEL ENERGIA SPA (CF: 06655971007)
</t>
  </si>
  <si>
    <t>ENEL ENERGIA SPA (CF: 06655971007)</t>
  </si>
  <si>
    <t>Carte di Credito</t>
  </si>
  <si>
    <t xml:space="preserve">NEXI PAYMENTS S.P.A. (GIÃ  CARTASI SPA) (CF: 04107060966)
</t>
  </si>
  <si>
    <t>NEXI PAYMENTS S.P.A. (GIÃ  CARTASI SPA) (CF: 04107060966)</t>
  </si>
  <si>
    <t>Parere di congruitÃ  dei costi richiesti dalla Sose Spa</t>
  </si>
  <si>
    <t xml:space="preserve">PINTO EUGENIO (CF: PNTGNE59P20L049V)
</t>
  </si>
  <si>
    <t>PINTO EUGENIO (CF: PNTGNE59P20L049V)</t>
  </si>
  <si>
    <t>Gestione integrata della salute e sicurezza luoghi di lavoro (subentro Gi ONE Spa)</t>
  </si>
  <si>
    <t xml:space="preserve">EXITONE S.P.A. (CF: 07874490019)
</t>
  </si>
  <si>
    <t>EXITONE S.P.A. (CF: 07874490019)</t>
  </si>
  <si>
    <t>Utenza elettrica Giorgione, Colombo, Licini (da 18 luglio 2017 fornitore Enel Energia)</t>
  </si>
  <si>
    <t>Manutenzione aree a verde Direzioni Centrali</t>
  </si>
  <si>
    <t xml:space="preserve">RAGGRUPPAMENTO:
- GE.CO.S. SRL (CF: 07554601000) Ruolo: 02-MANDATARIA
- IPOMAGI SRL (CF: 05182860584) Ruolo: 01-MANDANTE
AMBI-ECO S.R.L. (CF: 03172380408)
BRA SERVIZI SRL (CF: 02128000045)
ECO TRANS SRL (CF: 01813851209)
G.K.S. S.R.L. (CF: 01158780013)
</t>
  </si>
  <si>
    <t xml:space="preserve">RAGGRUPPAMENTO:
- GE.CO.S. SRL (CF: 07554601000) Ruolo: 02-MANDATARIA
- IPOMAGI SRL (CF: 05182860584) Ruolo: 01-MANDANTE
</t>
  </si>
  <si>
    <t>Affidamento incarico Consulente tecnico di parte (CTP) presso la Corte dâ€™Appello di Venezia</t>
  </si>
  <si>
    <t xml:space="preserve">FASANA GIUSEPPE (CF: FSNGPP59H28C933M)
</t>
  </si>
  <si>
    <t>FASANA GIUSEPPE (CF: FSNGPP59H28C933M)</t>
  </si>
  <si>
    <t>Noleggio veicolo commerciale Ducato Furgone 28 CH1 2.0 MJT 16v 115CV E6 DR Piemonte</t>
  </si>
  <si>
    <t xml:space="preserve">LEASYS S.P.A (CF: 08083020019)
</t>
  </si>
  <si>
    <t>LEASYS S.P.A (CF: 08083020019)</t>
  </si>
  <si>
    <t>Noleggio veicolo Fiat Tipo 4 porte 1.6 mjt 120 cv Easy My '18 DR Lombardia</t>
  </si>
  <si>
    <t>Noleggio veicolo Fiat Tipo 4 porte 1.6 mjt 120 cv Easy My '18 DR Emila Romagna</t>
  </si>
  <si>
    <t>Noleggio veicolo Fiat Tipo 4 porte 1.6 mjt 120 cv Easy My '18 DR Veneto</t>
  </si>
  <si>
    <t>Noleggio veicolo Fiat Tipo 4 porte 1.6 mjt 120 cv Easy My '18 DR Piemonte</t>
  </si>
  <si>
    <t>Servizio di biglietteria ed, occasionalmente, di prenotazione alberghiera per i viaggi di missione dei dipendenti dell'Agenzia</t>
  </si>
  <si>
    <t xml:space="preserve">CISALPINA TOURS S.P.A. (CF: 00637950015)
EUGENIO CONTI SRL (CF: 00394860589)
UVET AMERICAN EXPRESS CORPORATE TRAVEL S.P.A. (CF: 03227380965)
</t>
  </si>
  <si>
    <t>EUGENIO CONTI SRL (CF: 00394860589)</t>
  </si>
  <si>
    <t>Utenze elettriche - mercato di salvaguardia</t>
  </si>
  <si>
    <t xml:space="preserve">HERA COMM (CF: 02221101203)
</t>
  </si>
  <si>
    <t>HERA COMM (CF: 02221101203)</t>
  </si>
  <si>
    <t>Servizio di trasporto per il personale in servizio presso gli Uffici Centrali dell'Agenzia delle Entrate</t>
  </si>
  <si>
    <t xml:space="preserve">CORSI &amp; PAMPANELLI AUTOLINEE SNC (CF: 00117970608)
FRANCO VIAGGI SRL (CF: 02207290046)
IANNUCCI SRL (CF: 01874800608)
LUNA PARK SRL (CF: 02498430608)
ROSSI BUS SPA (CF: 07119341001)
</t>
  </si>
  <si>
    <t>CORSI &amp; PAMPANELLI AUTOLINEE SNC (CF: 00117970608)</t>
  </si>
  <si>
    <t>ROSCIOLI CATENA ALBERGHIERA - CONVENZIONE</t>
  </si>
  <si>
    <t>03-PROCEDURA NEGOZIATA PREVIA PUBBLICAZIONE</t>
  </si>
  <si>
    <t xml:space="preserve">ROSCIOLI HOTELS SOC. CONS. A R.L. (CF: 08649620583)
</t>
  </si>
  <si>
    <t>ROSCIOLI HOTELS SOC. CONS. A R.L. (CF: 08649620583)</t>
  </si>
  <si>
    <t>Fornitura energia elettrica da fonte rinnovabile stagione 2019- 2020 - Uffici Centrali</t>
  </si>
  <si>
    <t>Fornitura e consegna di quotidiani e riviste per le sedi centrali dell'Agenzia</t>
  </si>
  <si>
    <t xml:space="preserve">GIADRI SAS DI SCIFONI ADRIANO (CF: 06214521004)
</t>
  </si>
  <si>
    <t>GIADRI SAS DI SCIFONI ADRIANO (CF: 06214521004)</t>
  </si>
  <si>
    <t>Fornitura delle infrastrutture multimediali per n. 3 sale riunioni</t>
  </si>
  <si>
    <t xml:space="preserve">ACUSON S.R.L. (CF: 02198210011)
DELTA TECNO STUDIO SRL (CF: 10899161003)
DUEPIGRECOERRE SRL (CF: 07507741002)
FASTWEB S.P.A. (CF: 12878470157)
TELECOM ITALIA S.P.A. (CF: 00488410010)
</t>
  </si>
  <si>
    <t>DELTA TECNO STUDIO SRL (CF: 10899161003)</t>
  </si>
  <si>
    <t>Copertura assicurativa (Errors &amp; Omissions) dell'Agenzia delle Entrate</t>
  </si>
  <si>
    <t xml:space="preserve">AIG EUROPE S.A. RAPPRESENTANZA GENERALE PER Lâ€™ITALIA (CF: 97819940152)
</t>
  </si>
  <si>
    <t>AIG EUROPE S.A. RAPPRESENTANZA GENERALE PER Lâ€™ITALIA (CF: 97819940152)</t>
  </si>
  <si>
    <t>Acquisto sistemi controllo accessi</t>
  </si>
  <si>
    <t xml:space="preserve">SOLARI DI UDINE S.P.A. (CF: 01847860309)
</t>
  </si>
  <si>
    <t>SOLARI DI UDINE S.P.A. (CF: 01847860309)</t>
  </si>
  <si>
    <t>Servizio di supporto di conoscenza sull'innovazione tecnologica e accesso a banche dati</t>
  </si>
  <si>
    <t xml:space="preserve">GARTNER ITALIA SRL (CF: 09757660155)
</t>
  </si>
  <si>
    <t>GARTNER ITALIA SRL (CF: 09757660155)</t>
  </si>
  <si>
    <t>Licenze software gestionale Zucchetti</t>
  </si>
  <si>
    <t xml:space="preserve">LINEA COMPUTER SRL (CF: 01265740710)
PROGRESS GROUP SRL (CF: 01860050606)
SPECTRE SRL (CF: 01475310700)
VAR GROUP S.P.A. (CF: 03301640482)
ZUCCHETTI SOFTWARE SRL (CF: 02158360285)
</t>
  </si>
  <si>
    <t>PROGRESS GROUP SRL (CF: 01860050606)</t>
  </si>
  <si>
    <t>N. 6 Apparecchiature multifunzione colore sede largo Leopardi in noleggio</t>
  </si>
  <si>
    <t>n. 5 Apparecchiature Multifunzione B/N Sede Largo Leopardi in noleggio</t>
  </si>
  <si>
    <t>Fornitura in comodato dâ€™uso e della relativa installazione e manutenzione dellâ€™apparato concentratore per la ricezione delle Agenzia di Stampa</t>
  </si>
  <si>
    <t xml:space="preserve">DATA STAMPA SRL (CF: 04982350581)
L'ECO DELLA STAMPA S.P.A. (CF: 06862080154)
MIMESI (CF: 02161300344)
TELECOM NEWS SRL (CF: 12346981009)
TELPRESS ITALIA S.R.L. (CF: 00735000572)
</t>
  </si>
  <si>
    <t>DATA STAMPA SRL (CF: 04982350581)</t>
  </si>
  <si>
    <t>Convenzione alberghiera</t>
  </si>
  <si>
    <t xml:space="preserve">VILLA DELL'OMBRELLINO SRL (CF: 08441281006)
</t>
  </si>
  <si>
    <t>VILLA DELL'OMBRELLINO SRL (CF: 08441281006)</t>
  </si>
  <si>
    <t>Fornitura di timbri di varie tipologie, biglietti da visita e prodotti vari per gli Uffici Centrali</t>
  </si>
  <si>
    <t xml:space="preserve">BLU3 SRL (CF: 07843401006)
EDU360SRL (CF: 11390161005)
HOUSE OFFICE SRL (CF: 12848591009)
INNOCOM SRL (CF: 10674221006)
PRINTAMENTE SNC (CF: 05846281003)
</t>
  </si>
  <si>
    <t>HOUSE OFFICE SRL (CF: 12848591009)</t>
  </si>
  <si>
    <t>Noleggio Fiat Tipo SEDAN - Abruzzo</t>
  </si>
  <si>
    <t>Noleggio Fiat Tipo SEDAN - MARCHE</t>
  </si>
  <si>
    <t>Servizio di pubblicazione legale degli estratti di bandi di gara e degli avvisi su due quotidiani cartacei a diffusione nazionale e su due quotidiani cartacei a diffusione locale</t>
  </si>
  <si>
    <t xml:space="preserve">FAMIS S.R.L. (CF: 02903240246)
IL SOLE 24ORE S.P.A. (CF: 00777910159)
MEDIAGRAPHIC SRL (CF: 05833480725)
PUBBLIGARE MANAGEMENT SRL (CF: 12328591008)
VIVENDA SRL (CF: 08959351001)
</t>
  </si>
  <si>
    <t>PUBBLIGARE MANAGEMENT SRL (CF: 12328591008)</t>
  </si>
  <si>
    <t>Energia elettrica 2019/2020 sede di Via Giorgione 106 Roma</t>
  </si>
  <si>
    <t>Energia elettrica BT 2019/2020 sede di Via Giorgione 106 Roma</t>
  </si>
  <si>
    <t>Noleggio veicolo Fiat Tipo 4 porte 1.6 mjt 120 cv Easy My '18 DR Lazio</t>
  </si>
  <si>
    <t>Noleggio veicolo commerciale Ducato Furgone 28 CH1 2.0 MJT 16v 115CV E6 DR Liguria</t>
  </si>
  <si>
    <t>Noleggio autovettura - DR TOSCANA</t>
  </si>
  <si>
    <t>Noleggio veicolo - DR VALLE D'AOSTA</t>
  </si>
  <si>
    <t>Noleggio autovettura - DR SARDEGNA</t>
  </si>
  <si>
    <t>Noleggio autovettura - DR SICILIA</t>
  </si>
  <si>
    <t>Noleggio autovettura - DR CAMPANIA</t>
  </si>
  <si>
    <t>noleggio autovettura - DR LAZIO</t>
  </si>
  <si>
    <t>Noleggio veicolo commerciale peugeot partner furgone L1 Bluehdi 75cv - CAMPANIA</t>
  </si>
  <si>
    <t xml:space="preserve">LEASE PLAN ITALIA S.P.A. (CF: 06496050151)
</t>
  </si>
  <si>
    <t>LEASE PLAN ITALIA S.P.A. (CF: 06496050151)</t>
  </si>
  <si>
    <t>Fornitura di carburante per autotrazione mediante Fuel Card</t>
  </si>
  <si>
    <t xml:space="preserve">ITALIANA PETROLI SPA (GIÃ  TOTALERG S.P.A.) (CF: 00051570893)
</t>
  </si>
  <si>
    <t>ITALIANA PETROLI SPA (GIÃ  TOTALERG S.P.A.) (CF: 00051570893)</t>
  </si>
  <si>
    <t>Raccolta dati per il sondaggio congiunturale sul mercato delle abitazioni in Italia e in favore della Banca d'Italia, dell'Agenzia delle Entrate e di Tecnoborsa</t>
  </si>
  <si>
    <t xml:space="preserve">QUESTLAB SRL (CF: 03448440275)
</t>
  </si>
  <si>
    <t>QUESTLAB SRL (CF: 03448440275)</t>
  </si>
  <si>
    <t>Prodotti tipografici per le esigenze delle Direzioni Regionali</t>
  </si>
  <si>
    <t xml:space="preserve">POSTEL SPA (CF: 04839740489)
</t>
  </si>
  <si>
    <t>POSTEL SPA (CF: 04839740489)</t>
  </si>
  <si>
    <t>Noleggio e assistenza antenna parabolica necessaria alla ricezione dei notiziari di Agenzia di stampa ANSA nellâ€™anno 2020</t>
  </si>
  <si>
    <t xml:space="preserve">ANSA AGENZIA NAZIONALE STAMPA ASSOCIATA SOCIETA' COOPERATIVA (CF: 00391130580)
</t>
  </si>
  <si>
    <t>ANSA AGENZIA NAZIONALE STAMPA ASSOCIATA SOCIETA' COOPERATIVA (CF: 00391130580)</t>
  </si>
  <si>
    <t>OLY HOTEL - Convenzione alberghiera</t>
  </si>
  <si>
    <t xml:space="preserve">OLY HOTEL SRL (CF: 05454500587)
</t>
  </si>
  <si>
    <t>OLY HOTEL SRL (CF: 05454500587)</t>
  </si>
  <si>
    <t>Telefonia fissa e connettivitÃ  IP</t>
  </si>
  <si>
    <t>BarcelÃ² Aran Mantegna Hotel - Convenzione alberghiera</t>
  </si>
  <si>
    <t xml:space="preserve">BARCELO GESTION HOTELES ROMA S.R.L. (CF: 12332681001)
</t>
  </si>
  <si>
    <t>BARCELO GESTION HOTELES ROMA S.R.L. (CF: 12332681001)</t>
  </si>
  <si>
    <t xml:space="preserve">SPACE HOTELS SOCIETA COOPERATIVA (CF: 80038950582)
</t>
  </si>
  <si>
    <t>SPACE HOTELS SOCIETA COOPERATIVA (CF: 80038950582)</t>
  </si>
  <si>
    <t>CATENA ALBERGHIERA ACCOR HOTEL</t>
  </si>
  <si>
    <t xml:space="preserve">ACCOR HOSPITALITY ITALIA S.R.L. (CF: 09421280158)
</t>
  </si>
  <si>
    <t>ACCOR HOSPITALITY ITALIA S.R.L. (CF: 09421280158)</t>
  </si>
  <si>
    <t>PALATINO HOTEL - CONVENZIONE</t>
  </si>
  <si>
    <t xml:space="preserve">MONTECARLO IMMOBILIARE S.P.A. (CF: 00434210480)
</t>
  </si>
  <si>
    <t>MONTECARLO IMMOBILIARE S.P.A. (CF: 00434210480)</t>
  </si>
  <si>
    <t>CATENA ALBERGHIERA BEST WESTERN ITALIA SPA</t>
  </si>
  <si>
    <t xml:space="preserve">BEST WESTERN ITALIA SPA (CF: 02747690010)
</t>
  </si>
  <si>
    <t>BEST WESTERN ITALIA SPA (CF: 02747690010)</t>
  </si>
  <si>
    <t xml:space="preserve">NH ITALIA S.P.A. (CF: 04440220962)
</t>
  </si>
  <si>
    <t>NH ITALIA S.P.A. (CF: 04440220962)</t>
  </si>
  <si>
    <t xml:space="preserve">GRUPPO UNA S.P.A. (CF: 00849180153)
</t>
  </si>
  <si>
    <t>GRUPPO UNA S.P.A. (CF: 00849180153)</t>
  </si>
  <si>
    <t>Fornitura biennale di 1 distributore di acqua in boccione presso la sede dellâ€™Agenzia delle Entrate di via Giorgione</t>
  </si>
  <si>
    <t xml:space="preserve">ACQUAVIVA S.R.L. (CF: 03792180980)
H2O S.R.L. (CF: 05712111003)
WATER TIME (CF: 02484930363)
</t>
  </si>
  <si>
    <t>ACQUAVIVA S.R.L. (CF: 03792180980)</t>
  </si>
  <si>
    <t>HOTEL REGINA - CONVENZIONE</t>
  </si>
  <si>
    <t xml:space="preserve">TRECI SNC DI CIDONI D. E CANTISANI C. (CF: 01560320218)
</t>
  </si>
  <si>
    <t>TRECI SNC DI CIDONI D. E CANTISANI C. (CF: 01560320218)</t>
  </si>
  <si>
    <t>Noleggio Fiat Tipo SEDAN - PUGLIA</t>
  </si>
  <si>
    <t>Noleggio Fiat Tipo SEDAN - LIGURIA</t>
  </si>
  <si>
    <t>Noleggio Fiat Tipo SEDAN - UMBRIA</t>
  </si>
  <si>
    <t>Noleggio Fiat SEDAN - Basilicata</t>
  </si>
  <si>
    <t>Noleggio Fiat Tipo Sedan 1.6 - CALABRIA</t>
  </si>
  <si>
    <t>Noleggio Fiat Tipo SEDAN - FRIULI VENEZIA GIULIA</t>
  </si>
  <si>
    <t>Noleggio FIat Tipo SEDAN - DC</t>
  </si>
  <si>
    <t>Energia Elettrica stagione 2020-21 sede Giorgione 159 parti comuni</t>
  </si>
  <si>
    <t>Facchinaggio, trasporto e trasloco a ridotto impatto ambientale - Lotto 10 Calabria e Sicilia</t>
  </si>
  <si>
    <t xml:space="preserve">RAGGRUPPAMENTO:
- CO.MI SRL (CF: 05631620829) Ruolo: 02-MANDATARIA
- F.LLI PIERO E FRANCO CRITELLI SRL (CF: 01261400798) Ruolo: 01-MANDANTE
- S.T.I DI SCIOTTO NATALE &amp; C. S.A.S. (CF: 01972200834) Ruolo: 01-MANDANTE
- SICILIA POST SRL (CF: 02958620839) Ruolo: 01-MANDANTE
APM DI M POLIMENI (CF: 02244990806)
CAMPANIA SRL (CF: 03694460613)
CONSORZIO MANUTENZIONI GENERALI (CF: 05878321214)
ROSSI TRANSWORLD S.A.S. (CF: 05198491002)
</t>
  </si>
  <si>
    <t xml:space="preserve">RAGGRUPPAMENTO:
- CO.MI SRL (CF: 05631620829) Ruolo: 02-MANDATARIA
- F.LLI PIERO E FRANCO CRITELLI SRL (CF: 01261400798) Ruolo: 01-MANDANTE
- S.T.I DI SCIOTTO NATALE &amp; C. S.A.S. (CF: 01972200834) Ruolo: 01-MANDANTE
- SICILIA POST SRL (CF: 02958620839) Ruolo: 01-MANDANTE
</t>
  </si>
  <si>
    <t>Gas naturale 2020-2021 Sede Giorgione 106</t>
  </si>
  <si>
    <t>Servizio di pulizia a ridotto impianto ambientale - Lotto 4 (subentro a MANITAL SCPA in data 27/03/2020)</t>
  </si>
  <si>
    <t xml:space="preserve">CM SERVICE SRL (CF: 08766390010)
GESTIONE SERVIZI INTEGRATI S.R.L. (CF: 09942990012)
LA LUCENTEZZA S.R.L. (CF: 03222370722)
MANITAL S.C.P.A.-CONSORZIO STABILE (CF: 06466050017)
SKILL SCARL (CF: 03854020280)
TEAM SERVICE (CF: 07947601006)
</t>
  </si>
  <si>
    <t>SKILL SCARL (CF: 03854020280)</t>
  </si>
  <si>
    <t>Cancelleria per le Direzioni Centrali</t>
  </si>
  <si>
    <t xml:space="preserve">CONTAX INFORMATICA SRL (CF: 02230230597)
GIARY SRL (CF: 06537361005)
MYO S.R.L. (CF: 03222970406)
PREART S.R.L. (CF: 05200370871)
ZUCCHETTI INFORMATICA S.P.A. (CF: 09588050154)
</t>
  </si>
  <si>
    <t>MYO S.R.L. (CF: 03222970406)</t>
  </si>
  <si>
    <t>Fornitura, stampa e consegna di prodotti tipografici</t>
  </si>
  <si>
    <t xml:space="preserve">RAGGRUPPAMENTO:
- ASCAM SRL (CF: 00976050427) Ruolo: 02-MANDATARIA
- ABRAMO PRINTING &amp; LOGISTICS S.P.A. (CF: 00166800797) Ruolo: 01-MANDANTE
GRAFICHE VALDELSA SERVIZI INTEGRATI SRL (CF: 01165810522)
POSTEL SPA (CF: 04839740489)
</t>
  </si>
  <si>
    <t>Abbonamento a Bloomberg professional</t>
  </si>
  <si>
    <t xml:space="preserve">BLOOMBERG FINANCE LP (CF: 12162160159)
</t>
  </si>
  <si>
    <t>BLOOMBERG FINANCE LP (CF: 12162160159)</t>
  </si>
  <si>
    <t>Manutenzione degli impianti antincendio presso le sedi delle Direzioni Centrali</t>
  </si>
  <si>
    <t xml:space="preserve">AIR FIRE SPA (CF: 06305150580)
BENE S.R.L. (CF: 02026350997)
CIREA SRL (CF: 00838000396)
GRUPPO ECF S.P.A. (CF: 04808921003)
TVL GROUP SRL (CF: 01978440202)
</t>
  </si>
  <si>
    <t>AIR FIRE SPA (CF: 06305150580)</t>
  </si>
  <si>
    <t>Manutenzione degli impianti elevatori presso le sedi delle Direzioni Centrali</t>
  </si>
  <si>
    <t xml:space="preserve">AROS ASCENSORI SRL (CF: 05869101005)
ESIS SRL (CF: 12010021009)
KONE SPA (CF: 05069070158)
OTIS SERVIZI SRL (CF: 01729590032)
THYSSENKRUPP ELEVATORI ITALIA SPA (CF: 03702760962)
</t>
  </si>
  <si>
    <t>THYSSENKRUPP ELEVATORI ITALIA SPA (CF: 03702760962)</t>
  </si>
  <si>
    <t>Conduzione e manutenzione degli impianti termoidraulici, di condizionamento ed idricosanitari presso le sedi centrali</t>
  </si>
  <si>
    <t xml:space="preserve">3A COSTRUZIONI S.R.L. (CF: 08654491003)
CITEM IMPIANTI SRL (CF: 02230970606)
IMMA SPA (CF: 01041270925)
LASER SRL (CF: 02350320590)
T.I.R.E.S. SRL (CF: 06004130016)
</t>
  </si>
  <si>
    <t>T.I.R.E.S. SRL (CF: 06004130016)</t>
  </si>
  <si>
    <t>Fornitura energia elettrica sedi centrali 2020/2021</t>
  </si>
  <si>
    <t>Servizio di vigilanza e reception per le Direzioni Centrali - Lotto 1</t>
  </si>
  <si>
    <t>02-PROCEDURA RISTRETTA</t>
  </si>
  <si>
    <t xml:space="preserve">RAGGRUPPAMENTO:
- ITALPOL VIGILANZA S.R.L. (CF: 05849251003) Ruolo: 02-MANDATARIA
- COOPSERVICE S.COOP.P.A. (CF: 00310180351) Ruolo: 01-MANDANTE
RAGGRUPPAMENTO:
- ISTITUTO VIGILANZA ARGO S.R.L. (CF: 04995770585) Ruolo: 02-MANDATARIA
- KSM SERVICE SRL (CF: 05580970829) Ruolo: 01-MANDANTE
RAGGRUPPAMENTO:
- CITTA' DI ROMA METRONOTTE SOCIETA' COOPERATIVA (CF: 03707541003) Ruolo: 02-MANDATARIA
- METROSERVICE (CF: 09802301003) Ruolo: 01-MANDANTE
ITALSERVIZI 2007 S.R.L (CF: 09322791006)
SECURITY SERVICE SRL (CF: 04607470582)
</t>
  </si>
  <si>
    <t xml:space="preserve">RAGGRUPPAMENTO:
- ITALPOL VIGILANZA S.R.L. (CF: 05849251003) Ruolo: 02-MANDATARIA
- COOPSERVICE S.COOP.P.A. (CF: 00310180351) Ruolo: 01-MANDANTE
</t>
  </si>
  <si>
    <t>Prodotti per la rilevazione della temperatura corporea</t>
  </si>
  <si>
    <t xml:space="preserve">PA DIGITALE SPA (CF: 06628860964)
</t>
  </si>
  <si>
    <t>PA DIGITALE SPA (CF: 06628860964)</t>
  </si>
  <si>
    <t>Noleggio multifunzione</t>
  </si>
  <si>
    <t>Servizio di autolavaggio dei veicoli in dotazione alle sedi centrali</t>
  </si>
  <si>
    <t xml:space="preserve">EURO PARKING 2000 SAS DI BERARDO ROSANNA ANGELICA E C. (CF: 06031711002)
SIRIA SRL (CF: 12890831006)
SUPERWASH SRL (CF: 07228081001)
</t>
  </si>
  <si>
    <t>SUPERWASH SRL (CF: 07228081001)</t>
  </si>
  <si>
    <t>Servizio di taxi per i dipendenti in servizio presso gli Uffici centrali dell'Agenzia</t>
  </si>
  <si>
    <t xml:space="preserve">COOPERATIVA PRONTO TAXI 6645 - SOCIETA' COOPERATIVA (CF: 02705590582)
RADIOTAXI 3570 SOCIETA' COOPERATIVA (CF: 02278690587)
SOCIETA' COOPERATIVA SAMARCANDA (CF: 04321971006)
</t>
  </si>
  <si>
    <t>RADIOTAXI 3570 SOCIETA' COOPERATIVA (CF: 02278690587)</t>
  </si>
  <si>
    <t>Fornitura di una base con n. 3 boccioni per erogatore di acqua senza collegamento a rete idrica presso la sede dellâ€™Agenzia delle Entrate di via Giorgione, 106</t>
  </si>
  <si>
    <t xml:space="preserve">ACQUAVIVA S.R.L. (CF: 03792180980)
</t>
  </si>
  <si>
    <t>Servizio di pulizia a ridotto impianto ambientale - Lotto 1 Piemonte e Val d'Aosta</t>
  </si>
  <si>
    <t xml:space="preserve">C.R. APPALTI SRL (CF: 04622851006)
CO.LA.COOP. CONSORZIO LAZIALE COOPERATIVE (CF: 06594220581)
CONSORZIO MERIDIONALE SERVIZI (CF: 01744050855)
GRATTACASO S.R.L. (CF: 00965350093)
MANITAL S.C.P.A.-CONSORZIO STABILE (CF: 06466050017)
</t>
  </si>
  <si>
    <t>GRATTACASO S.R.L. (CF: 00965350093)</t>
  </si>
  <si>
    <t>Servizio di pulizia a ridotto impianto ambientale - Lotto 2 Lombardia</t>
  </si>
  <si>
    <t xml:space="preserve">RAGGRUPPAMENTO:
- B.&amp; B. SERVICE SOCIETA' COOPERATIVA (CF: 01494430463) Ruolo: 02-MANDATARIA
- BONI SPA (CF: 02113890012) Ruolo: 01-MANDANTE
C.R. APPALTI SRL (CF: 04622851006)
CNS - CONSORZIO NAZIONALE SERVIZI SOCIETA COOPERATIVA (CF: 02884150588)
I.S.S.ITALIA S.R.L. (CF: 00215860289)
MANITAL S.C.P.A.-CONSORZIO STABILE (CF: 06466050017)
</t>
  </si>
  <si>
    <t xml:space="preserve">RAGGRUPPAMENTO:
- B.&amp; B. SERVICE SOCIETA' COOPERATIVA (CF: 01494430463) Ruolo: 02-MANDATARIA
- BONI SPA (CF: 02113890012) Ruolo: 01-MANDANTE
</t>
  </si>
  <si>
    <t>Servizio di pulizia a ridotto impianto ambientale - Lotto 3 Bolzano Trento Friuli Venezia Giulia Veneto</t>
  </si>
  <si>
    <t xml:space="preserve">C.R. APPALTI SRL (CF: 04622851006)
CM SERVICE SRL (CF: 08766390010)
GESTIONE SERVIZI INTEGRATI S.R.L. (CF: 09942990012)
MANITAL S.C.P.A.-CONSORZIO STABILE (CF: 06466050017)
TEAM SERVICE (CF: 07947601006)
</t>
  </si>
  <si>
    <t>C.R. APPALTI SRL (CF: 04622851006)</t>
  </si>
  <si>
    <t>servizio di pulizia a ridotto impatto ambientale per le sedi degli Uffici dell'AE - Lotto 5 (Toscana e Umbria)</t>
  </si>
  <si>
    <t xml:space="preserve">C.R. APPALTI SRL (CF: 04622851006)
GESTIONE SERVIZI INTEGRATI S.R.L. (CF: 09942990012)
MANITAL S.C.P.A.-CONSORZIO STABILE (CF: 06466050017)
MERANESE SERVIZI SPA (CF: 01648280210)
SE.G.I. S.R.L. (CF: 02559730789)
</t>
  </si>
  <si>
    <t>servizio di pulizia a ridotto impatto ambientale per le sedi degli Uffici dell'AE - Lotto 7 (Direzioni Centrali, Lazio, Sardegna)</t>
  </si>
  <si>
    <t xml:space="preserve">C.R. APPALTI SRL (CF: 04622851006)
GESTIONE SERVIZI INTEGRATI S.R.L. (CF: 09942990012)
LA MONDIAL S.R.L. (CF: 00486270630)
MERANESE SERVIZI SPA (CF: 01648280210)
TEAM SERVICE (CF: 07947601006)
</t>
  </si>
  <si>
    <t>Servizio di pulizia a ridotto impianto ambientale - Lotto 6 Abruzzo Marche</t>
  </si>
  <si>
    <t xml:space="preserve">RAGGRUPPAMENTO:
- MIORELLI SERVICE S.P.A. (CF: 00505590224) Ruolo: 02-MANDATARIA
- EURO &amp; PROMOS FM SOC.COOP.P.A. (CF: 02458660301) Ruolo: 01-MANDANTE
- PULITORI ED AFFINI - S.P.A. (CF: 02076190178) Ruolo: 01-MANDANTE
C.R. APPALTI SRL (CF: 04622851006)
CONSORZIO MERIDIONALE SERVIZI (CF: 01744050855)
LA LUCENTEZZA S.R.L. (CF: 03222370722)
TEAM SERVICE (CF: 07947601006)
</t>
  </si>
  <si>
    <t xml:space="preserve">RAGGRUPPAMENTO:
- MIORELLI SERVICE S.P.A. (CF: 00505590224) Ruolo: 02-MANDATARIA
- EURO &amp; PROMOS FM SOC.COOP.P.A. (CF: 02458660301) Ruolo: 01-MANDANTE
- PULITORI ED AFFINI - S.P.A. (CF: 02076190178) Ruolo: 01-MANDANTE
</t>
  </si>
  <si>
    <t>Servizio di pulizia a ridotto impianto ambientale - Lotto 8 Campania</t>
  </si>
  <si>
    <t xml:space="preserve">CM SERVICE SRL (CF: 08766390010)
I.S.S.ITALIA S.R.L. (CF: 00215860289)
LA LUCENTEZZA S.R.L. (CF: 03222370722)
MANITAL S.C.P.A.-CONSORZIO STABILE (CF: 06466050017)
SKILL SCARL (CF: 03854020280)
</t>
  </si>
  <si>
    <t>Servizio di pulizia a ridotto impatto ambientale - Lotto 9 Puglia e Molise</t>
  </si>
  <si>
    <t xml:space="preserve">RAGGRUPPAMENTO:
- SANTA BRIGIDA SOCIETA COOP.VA PER AZIONI (CF: 04161790631) Ruolo: 02-MANDATARIA
- RISANAMENTO VESUVIO S.A.S (CF: 04565950633) Ruolo: 01-MANDANTE
CM SERVICE SRL (CF: 08766390010)
COOPSERVICE S.COOP.P.A. (CF: 00310180351)
LA LUCENTEZZA S.R.L. (CF: 03222370722)
MANITAL S.C.P.A.-CONSORZIO STABILE (CF: 06466050017)
</t>
  </si>
  <si>
    <t xml:space="preserve">RAGGRUPPAMENTO:
- SANTA BRIGIDA SOCIETA COOP.VA PER AZIONI (CF: 04161790631) Ruolo: 02-MANDATARIA
- RISANAMENTO VESUVIO S.A.S (CF: 04565950633) Ruolo: 01-MANDANTE
</t>
  </si>
  <si>
    <t>Servizio di pulizia a ridotto impianto ambientale - Lotto 10 Calabria Sicilia</t>
  </si>
  <si>
    <t xml:space="preserve">RAGGRUPPAMENTO:
- EURO &amp; PROMOS FM SOC.COOP.P.A. (CF: 02458660301) Ruolo: 02-MANDATARIA
- MIORELLI SERVICE S.P.A. (CF: 00505590224) Ruolo: 01-MANDANTE
- PULITORI ED AFFINI - S.P.A. (CF: 02076190178) Ruolo: 01-MANDANTE
C.R. APPALTI SRL (CF: 04622851006)
CO.LA.COOP. CONSORZIO LAZIALE COOPERATIVE (CF: 06594220581)
CONSORZIO MERIDIONALE SERVIZI (CF: 01744050855)
MANITAL S.C.P.A.-CONSORZIO STABILE (CF: 06466050017)
</t>
  </si>
  <si>
    <t xml:space="preserve">RAGGRUPPAMENTO:
- EURO &amp; PROMOS FM SOC.COOP.P.A. (CF: 02458660301) Ruolo: 02-MANDATARIA
- MIORELLI SERVICE S.P.A. (CF: 00505590224) Ruolo: 01-MANDANTE
- PULITORI ED AFFINI - S.P.A. (CF: 02076190178) Ruolo: 01-MANDANTE
</t>
  </si>
  <si>
    <t>Servizio di pulizia a ridotto impianto ambientale - Lotto 8 Basilicata Campania (contratto per la Campania risolto il 10/03/2017 - decorrenza 2 maggio 2017)</t>
  </si>
  <si>
    <t xml:space="preserve">RAGGRUPPAMENTO:
- SANTA BRIGIDA SOCIETA COOP.VA PER AZIONI (CF: 04161790631) Ruolo: 02-MANDATARIA
- RISANAMENTO VESUVIO S.A.S (CF: 04565950633) Ruolo: 01-MANDANTE
CM SERVICE SRL (CF: 08766390010)
I.S.S.ITALIA S.R.L. (CF: 00215860289)
LA LUCENTEZZA S.R.L. (CF: 03222370722)
MANITAL S.C.P.A.-CONSORZIO STABILE (CF: 06466050017)
</t>
  </si>
  <si>
    <t>Servizio di spedizione a mezzo corriere (ramo d'azienda ceduto a Poste Italiane spa da SDA Express courier spa in data 01/10/2019)</t>
  </si>
  <si>
    <t xml:space="preserve">POSTE ITALIANE SPA (CF: 97103880585)
SDA EXPRESS COURIER SPA (CF: 02335990541)
</t>
  </si>
  <si>
    <t>POSTE ITALIANE SPA (CF: 97103880585)</t>
  </si>
  <si>
    <t>Servizio di sorveglianza sanitaria da parte del medico competente (art. 41 del D.Lgs. n. 81/2008) in favore dei dipendenti in servizio presso la sede centrale di via Giorgione n. 106 in Roma</t>
  </si>
  <si>
    <t xml:space="preserve">EFFATI HOMAYOUN (CF: FFTHYN66C21Z224P)
</t>
  </si>
  <si>
    <t>EFFATI HOMAYOUN (CF: FFTHYN66C21Z224P)</t>
  </si>
  <si>
    <t>Servizio di sorveglianza sanitaria da parte del medico competente (art. 41 del D.Lgs. n. 81/2008) in favore dei dipendenti in servizio presso la sede centrale di largo Leopardi n. 5 in Roma</t>
  </si>
  <si>
    <t xml:space="preserve">GALASSI VINCENZO (CF: GLSVCN52E30H501V)
</t>
  </si>
  <si>
    <t>GALASSI VINCENZO (CF: GLSVCN52E30H501V)</t>
  </si>
  <si>
    <t>Servizio di sorveglianza sanitaria da parte del medico competente (art. 41 del D.Lgs. n. 81/2008) in favore dei dipendenti in servizio presso le sedi centrali di via Giorgione n. 159 e via Licini n. 12 in Roma</t>
  </si>
  <si>
    <t xml:space="preserve">FILIPPELLI CHIARA (CF: FLPCHR70P45D708J)
</t>
  </si>
  <si>
    <t>FILIPPELLI CHIARA (CF: FLPCHR70P45D708J)</t>
  </si>
  <si>
    <t>Servizi di stampa e recapito della corrispondenza - Lotto 2 (Nord)</t>
  </si>
  <si>
    <t xml:space="preserve">RAGGRUPPAMENTO:
- NEXIVE SCARL (CF: 07868190963) Ruolo: 02-MANDATARIA
- DOXEE SPA (CF: 02714390362) Ruolo: 01-MANDANTE
- NEXIVE SPA (CF: 12383760159) Ruolo: 01-MANDANTE
POSTE ITALIANE SPA (CF: 97103880585)
</t>
  </si>
  <si>
    <t>Servizi di stampa e recapito della corrispondenza - Lotto 3 (Centro)</t>
  </si>
  <si>
    <t xml:space="preserve">RAGGRUPPAMENTO:
- NEXIVE SCARL (CF: 07868190963) Ruolo: 02-MANDATARIA
- CONSORZIO STABILE OLIMPO (CF: 05036060829) Ruolo: 01-MANDANTE
- DOXEE SPA (CF: 02714390362) Ruolo: 01-MANDANTE
- NEXIVE SPA (CF: 12383760159) Ruolo: 01-MANDANTE
POSTE ITALIANE SPA (CF: 97103880585)
</t>
  </si>
  <si>
    <t>Servizi di stampa e recapito della corrispondenza - Lotto 4 (Sud)</t>
  </si>
  <si>
    <t xml:space="preserve">RAGGRUPPAMENTO:
- NEXIVE SCARL (CF: 07868190963) Ruolo: 02-MANDATARIA
- CONSORZIO STABILE OLIMPO (CF: 05036060829) Ruolo: 01-MANDANTE
- NEXIVE SPA (CF: 12383760159) Ruolo: 01-MANDANTE
POSTE ITALIANE SPA (CF: 97103880585)
</t>
  </si>
  <si>
    <t xml:space="preserve">RAGGRUPPAMENTO:
- NEXIVE SCARL (CF: 07868190963) Ruolo: 02-MANDATARIA
- CONSORZIO STABILE OLIMPO (CF: 05036060829) Ruolo: 01-MANDANTE
- NEXIVE SPA (CF: 12383760159) Ruolo: 01-MANDANTE
</t>
  </si>
  <si>
    <t>Servizio di brokeraggio assicurativo per l'Agenzia delle Entrate</t>
  </si>
  <si>
    <t xml:space="preserve">RAGGRUPPAMENTO:
- ASSITECA INTERNAZIONALE DI BROKERAGGIO ASSICURATIVO SPA (CF: 09743130156) Ruolo: 02-MANDATARIA
- ITALBROKERS SPA (CF: 08536311007) Ruolo: 01-MANDANTE
AON SPA (CF: 10203070155)
CONSULBROKERS SPA (CF: 00970250767)
MARSH SPA (CF: 01699520159)
WILLIS ITALIA SPA (CF: 03902220486)
</t>
  </si>
  <si>
    <t>WILLIS ITALIA SPA (CF: 03902220486)</t>
  </si>
  <si>
    <t>Manutenzione degli impianti antintrusione, videosorveglianza e controllo accessi delle sedi centrali dell'Agenzia</t>
  </si>
  <si>
    <t xml:space="preserve">DA.MA. IMPIANTI SRL (CF: 02698090798)
DAB SISTEMI INTEGRATI SRL (CF: 00971430582)
DABBICCO TELECOMUNICAZIONI S.R.L. (CF: 04952540724)
DADA SRL (CF: 01686990704)
DAF SRL (CF: 04606420653)
</t>
  </si>
  <si>
    <t>DAB SISTEMI INTEGRATI SRL (CF: 00971430582)</t>
  </si>
  <si>
    <t>Servizio di pulizia, spurgo, smaltimento e video ispezione dei sistemi fognari da effettuarsi presso le strutture centrali dellâ€™Agenzia delle Entrate</t>
  </si>
  <si>
    <t xml:space="preserve">ITALSPURGO MULTI-SERVICES SRL (CF: 12879171002)
</t>
  </si>
  <si>
    <t>ITALSPURGO MULTI-SERVICES SRL (CF: 12879171002)</t>
  </si>
  <si>
    <t>Noleggio autovettura Fiat Ducato Dr Veneto</t>
  </si>
  <si>
    <t>Sistema leggi d'Italia - Edilizia e Urbanistica</t>
  </si>
  <si>
    <t xml:space="preserve">WOLTERS KLUWER ITALIA SRL (CF: 10209790152)
</t>
  </si>
  <si>
    <t>Affidamento in concessione del servizio di installazione e gestione di distributori automatici presso alcune sedi dell'Agenzia delle Entrate - Lotto 5</t>
  </si>
  <si>
    <t xml:space="preserve">GRUPPO ARGENTA S.P.A. (CF: 01870980362)
IVS ITALIA S.P.A. (CF: 03320270162)
</t>
  </si>
  <si>
    <t>IVS ITALIA S.P.A. (CF: 03320270162)</t>
  </si>
  <si>
    <t>Servizi di stampa e recapito della corrispondenza - Lotto 1 (Stampa ed imbustamento)</t>
  </si>
  <si>
    <t xml:space="preserve">GRAPHICSCALVE S.P.A. (CF: 01294980162)
LEADERFORM SPA (CF: 02696070230)
NEXIVE SPA (CF: 12383760159)
POSTEL SPA (CF: 04839740489)
SELECTA SPA (CF: 01961900246)
</t>
  </si>
  <si>
    <t>Vigilanza privata - Lotto 10 (DC/DG) - Contratto esecutivo</t>
  </si>
  <si>
    <t xml:space="preserve">CSM GLOBAL SECURITY SERVICE SRL (CF: 12748521007)
</t>
  </si>
  <si>
    <t>CSM GLOBAL SECURITY SERVICE SRL (CF: 12748521007)</t>
  </si>
  <si>
    <t>Vigilanza e reception presso le sedi della Direzione Regionale Lazio - Lotto 2</t>
  </si>
  <si>
    <t xml:space="preserve">RAGGRUPPAMENTO:
- CITTA' DI ROMA METRONOTTE SOCIETA' COOPERATIVA (CF: 03707541003) Ruolo: 04-CAPOGRUPPO
- METROSERVICE (CF: 09802301003) Ruolo: 05-CONSORZIATA
RAGGRUPPAMENTO:
- ISTITUTO VIGILANZA ARGO S.R.L. (CF: 04995770585) Ruolo: 02-MANDATARIA
- KSM SERVICE SRL (CF: 05580970829) Ruolo: 01-MANDANTE
RAGGRUPPAMENTO:
- ITALPOL VIGILANZA S.R.L. (CF: 05849251003) Ruolo: 02-MANDATARIA
- ITALSERVIZI 2007 S.R.L (CF: 09322791006) Ruolo: 01-MANDANTE
ISTITUTO DI VIGILANZA DELL'URBE S.P.A. (CF: 05800441007)
SECURITY SERVICE SRL (CF: 04607470582)
</t>
  </si>
  <si>
    <t xml:space="preserve">RAGGRUPPAMENTO:
- ISTITUTO VIGILANZA ARGO S.R.L. (CF: 04995770585) Ruolo: 02-MANDATARIA
- KSM SERVICE SRL (CF: 05580970829) Ruolo: 01-MANDANTE
</t>
  </si>
  <si>
    <t>Servizio di copertura radiomobile indoor delle sedi della Direzione Centrale dellâ€™Agenzia delle Entrate in Roma, Via Giorgione n. 106 e n. 159</t>
  </si>
  <si>
    <t>Manutenzione degli impianti elettrici, impianti speciali e rete dati presso le sedi delle Direzioni Centrali</t>
  </si>
  <si>
    <t xml:space="preserve">BURLANDI FRANCO SRL (CF: 04571101007)
CAMERRA SILVANO SRL (CF: 01623030242)
EFFE GROUP SRL (CF: 08688211005)
LINEA ITALIANA SRL (CF: 01497060358)
OSMA SRL (CF: 01971090038)
</t>
  </si>
  <si>
    <t>BURLANDI FRANCO SRL (CF: 04571101007)</t>
  </si>
  <si>
    <t>Servizi per l'espletamento delle procedure selettive per l'assunzione a tempo indeterminato di personale per le esigenze degli Uffici dell'Agenzia nel triennio 2020-2022</t>
  </si>
  <si>
    <t xml:space="preserve">E-WORK SPA (CF: 13063380151)
MERITO SRL (CF: 02290620992)
SCANSHARE SRL (CF: 03118780786)
SELEXI S.R.L. (CF: 12852900153)
</t>
  </si>
  <si>
    <t>MERITO SRL (CF: 02290620992)</t>
  </si>
  <si>
    <t>Servizi di trasferimento e trasporto di documentazione e di gestione documentale presso il Centro di Gestione Documentale</t>
  </si>
  <si>
    <t xml:space="preserve">CONSORZIO GE.SE.AV. (CF: 01843430560)
COOPSERVICE S.COOP.P.A. (CF: 00310180351)
</t>
  </si>
  <si>
    <t>CONSORZIO GE.SE.AV. (CF: 01843430560)</t>
  </si>
  <si>
    <t>Installazione di un sistema di controllo accessi nei locali archivi al piano secondo seminterrato delle sedi di via Giorgione</t>
  </si>
  <si>
    <t xml:space="preserve">BARISON SERVIZI S.R.L. (CF: 02973720275)
CSA S.R.L. (CF: 01791810672)
ITC SRL (CF: 07003151003)
MG ENGINEERING S.R.L. (CF: 04025780752)
RIAL SRL (CF: 01489610996)
</t>
  </si>
  <si>
    <t>ITC SRL (CF: 07003151003)</t>
  </si>
  <si>
    <t>Consultazione banca dati di analisi fiscale globale</t>
  </si>
  <si>
    <t xml:space="preserve">BUREAU VAN DIJK EDIZIONI ELETTRONICHE SPA (CF: 11139860156)
</t>
  </si>
  <si>
    <t>BUREAU VAN DIJK EDIZIONI ELETTRONICHE SPA (CF: 11139860156)</t>
  </si>
  <si>
    <t>Corsi di formazione per RSPP e ASPP</t>
  </si>
  <si>
    <t xml:space="preserve">AMBIENTE WORK ENGINEERING S.R.L. (CF: 01772580666)
</t>
  </si>
  <si>
    <t>AMBIENTE WORK ENGINEERING S.R.L. (CF: 01772580666)</t>
  </si>
  <si>
    <t>Facchinaggio, trasporto e trasloco a ridotto impatto ambientale per le sedi degli Uffici Centrali</t>
  </si>
  <si>
    <t xml:space="preserve">CONSORZIO TRASPORTI SPEDIZIONI LOGISTICA SOC. COOP. (CF: 13795321002)
</t>
  </si>
  <si>
    <t>CONSORZIO TRASPORTI SPEDIZIONI LOGISTICA SOC. COOP. (CF: 13795321002)</t>
  </si>
  <si>
    <t>Noleggio Fiat Tipo SEDAN - MOLISE</t>
  </si>
  <si>
    <t>Servizio Cloud SaaS di videocomunicazione</t>
  </si>
  <si>
    <t xml:space="preserve">G.E.@COM SRL (CF: 13251800150)
HITEC SRL (CF: 03479310546)
LIZARD SRL (CF: 01867040220)
NEWSIDE SRL (CF: 01577440330)
VIDEOLIFE SRL (CF: 11540941009)
</t>
  </si>
  <si>
    <t>G.E.@COM SRL (CF: 13251800150)</t>
  </si>
  <si>
    <t>NOLEGGIO FIAT TIPO SEDAN - VALLE D'AOSTA</t>
  </si>
  <si>
    <t>NOLEGGIO FIAT TIPO SEDAN 1.6 - DR SARDEGNA</t>
  </si>
  <si>
    <t>Fornitura termoscanner</t>
  </si>
  <si>
    <t>Fornitura di n. 3200 block notes per le esigenze delle Direzioni Centrali</t>
  </si>
  <si>
    <t xml:space="preserve">HOUSE OFFICE SRL (CF: 12848591009)
</t>
  </si>
  <si>
    <t>Fornitura e posa in opera balaustra</t>
  </si>
  <si>
    <t xml:space="preserve">PROGETTO INFISSI SRL (CF: 11345551003)
</t>
  </si>
  <si>
    <t>PROGETTO INFISSI SRL (CF: 11345551003)</t>
  </si>
  <si>
    <t>Fornitura e installazione della Centrale Antincendio della sede centrale dellâ€™Agenzia delle Entrate di Via Giorgione n. 159</t>
  </si>
  <si>
    <t xml:space="preserve">AIR FIRE (CF: 01526921000)
</t>
  </si>
  <si>
    <t>AIR FIRE (CF: 01526921000)</t>
  </si>
  <si>
    <t>Accordo quadro per la fornitura di gel disinfettante mani e relativi dispenser erogatori per le esigenze dellâ€™Agenzia delle Entrate e dellâ€™Agenzia delle entrate-Riscossione</t>
  </si>
  <si>
    <t xml:space="preserve">LA LUNA SRL (CF: 01380740629)
PEFIM SRL A SOCIO UNICO (CF: 06633741217)
S.I.R.F. CONSULTING SRL  (CF: 05805570651)
SEA MARCONI MATERIALS SRL (CF: 11484760019)
</t>
  </si>
  <si>
    <t>LA LUNA SRL (CF: 01380740629)</t>
  </si>
  <si>
    <t>Ordinativo di fornitura gel disinfettante mani e relativi dispenser erogatori per le esigenze dellâ€™Agenzia delle Entrate</t>
  </si>
  <si>
    <t xml:space="preserve">LA LUNA SRL (CF: 01380740629)
</t>
  </si>
  <si>
    <t xml:space="preserve">PEFIM SRL A SOCIO UNICO (CF: 06633741217)
</t>
  </si>
  <si>
    <t>PEFIM SRL A SOCIO UNICO (CF: 06633741217)</t>
  </si>
  <si>
    <t xml:space="preserve">SEA MARCONI MATERIALS SRL (CF: 11484760019)
</t>
  </si>
  <si>
    <t>SEA MARCONI MATERIALS SRL (CF: 11484760019)</t>
  </si>
  <si>
    <t>Noleggio FIAT TIPO SEDAN</t>
  </si>
  <si>
    <t>NOLEGGIO FIAT TIPO SEDAN 1.6 MJ - SICILIA</t>
  </si>
  <si>
    <t>NOLEGGIO FIAT TIPO SEDAN 1.6 MJT - DC</t>
  </si>
  <si>
    <t>Servizio di rassegna stampa e monitoraggio programmi TV e radio</t>
  </si>
  <si>
    <t xml:space="preserve">DATA STAMPA SRL (CF: 04982350581)
</t>
  </si>
  <si>
    <t>Abbonamento digitale</t>
  </si>
  <si>
    <t xml:space="preserve">RCS MEDIAGROUP S.P.A. (CF: 12086540155)
</t>
  </si>
  <si>
    <t>RCS MEDIAGROUP S.P.A. (CF: 12086540155)</t>
  </si>
  <si>
    <t>Gasolio da riscaldamento Nov/Dic 2020 - sede Largo Leopardi</t>
  </si>
  <si>
    <t xml:space="preserve">BRONCHI COMBUSTIBILI SRL (CF: 01252710403)
</t>
  </si>
  <si>
    <t>BRONCHI COMBUSTIBILI SRL (CF: 01252710403)</t>
  </si>
  <si>
    <t>Fornitura di carta per stampe e copie per le Direzioni Centrali ed alcune Direzioni Regionali dellâ€™Agenzia delle entrate - Lotto n. 8 (DR Lazio e Direzioni Centrali)</t>
  </si>
  <si>
    <t xml:space="preserve">CCG SRL (CF: 03351040583)
ICR - SOCIETA' PER AZIONI (CF: 05466391009)
LYRECO ITALIA SRL (CF: 11582010150)
VALSECCHI CANCELLERIA SRL (CF: 09521810961)
</t>
  </si>
  <si>
    <t>ICR - SOCIETA' PER AZIONI (CF: 05466391009)</t>
  </si>
  <si>
    <t>Servizio di spedizione a mezzo corriere</t>
  </si>
  <si>
    <t xml:space="preserve">CITYPOST SPA (CF: 01528040502)
POSTE ITALIANE SPA (CF: 97103880585)
PSD 1861 EXPRESS SRL (CF: 02283430904)
SOCISEC SRL (CF: 04827900657)
SPEDIREROMA SRL (CF: 10845781003)
</t>
  </si>
  <si>
    <t>abbonamenti</t>
  </si>
  <si>
    <t xml:space="preserve">GIURICONSULT SRL (CF: 05247730822)
</t>
  </si>
  <si>
    <t>GIURICONSULT SRL (CF: 05247730822)</t>
  </si>
  <si>
    <t>Adesione per lâ€™anno 2021 al Programma Corporate Membership</t>
  </si>
  <si>
    <t xml:space="preserve">ASSOCIAZIONE ITALIANA INTERNAL AUDITORS (CF: 02893990156)
</t>
  </si>
  <si>
    <t>ASSOCIAZIONE ITALIANA INTERNAL AUDITORS (CF: 02893990156)</t>
  </si>
  <si>
    <t>Assegnazione codifica DOI - Anno 2021</t>
  </si>
  <si>
    <t xml:space="preserve">EDISER SRL (CF: 03763520966)
</t>
  </si>
  <si>
    <t>EDISER SRL (CF: 03763520966)</t>
  </si>
  <si>
    <t>Adesione dellâ€™Agenzia delle Entrate allâ€™UNI come socio ordinario per lâ€™anno 2021</t>
  </si>
  <si>
    <t xml:space="preserve">ENTE NAZIONALE ITALIANO DI UNIFICAZIONE (CF: 80037830157)
</t>
  </si>
  <si>
    <t>ENTE NAZIONALE ITALIANO DI UNIFICAZIONE (CF: 80037830157)</t>
  </si>
  <si>
    <t>Manutenzione hardware</t>
  </si>
  <si>
    <t xml:space="preserve">HP ITALY SRL (CF: 08954150960)
</t>
  </si>
  <si>
    <t>HP ITALY SRL (CF: 08954150960)</t>
  </si>
  <si>
    <t>Abbonamenti a periodici</t>
  </si>
  <si>
    <t xml:space="preserve">PACINI EDITORE SRL (CF: 00696690502)
</t>
  </si>
  <si>
    <t>PACINI EDITORE SRL (CF: 00696690502)</t>
  </si>
  <si>
    <t>Abbonamenti</t>
  </si>
  <si>
    <t xml:space="preserve">DAILY REAL ESTATE S.R.L. (CF: 03276200163)
</t>
  </si>
  <si>
    <t>DAILY REAL ESTATE S.R.L. (CF: 03276200163)</t>
  </si>
  <si>
    <t xml:space="preserve">BOLLETTINO TRIBUTARIO SNC DI G. SALVATORES E C. (CF: 00882700156)
</t>
  </si>
  <si>
    <t>BOLLETTINO TRIBUTARIO SNC DI G. SALVATORES E C. (CF: 00882700156)</t>
  </si>
  <si>
    <t>Ordinativo di fornitura di mascherine chirurgiche monouso</t>
  </si>
  <si>
    <t xml:space="preserve">G.M. FASHION GROUP S.R.L. (CF: 08663331216)
</t>
  </si>
  <si>
    <t>G.M. FASHION GROUP S.R.L. (CF: 08663331216)</t>
  </si>
  <si>
    <t xml:space="preserve">MABE SRL (CF: 02969620133)
</t>
  </si>
  <si>
    <t>MABE SRL (CF: 02969620133)</t>
  </si>
  <si>
    <t>Manutenzione ordinaria, programmata e non programmata, per gli Uffici Centrali di Roma dellâ€™Agenzia delle Entrate</t>
  </si>
  <si>
    <t xml:space="preserve">3F CREA SRL (CF: 15323371003)
</t>
  </si>
  <si>
    <t>3F CREA SRL (CF: 15323371003)</t>
  </si>
  <si>
    <t>Noleggio e assistenza antenna parabolica necessaria alla ricezione dei notiziari di Agenzia di stampa ANSA nellâ€™anno 2021</t>
  </si>
  <si>
    <t xml:space="preserve">IBFD (CF: 96452710583)
</t>
  </si>
  <si>
    <t>IBFD (CF: 96452710583)</t>
  </si>
  <si>
    <t>Fornitura dei notiziari di Agenzia stampa RADIOCOR a favore dellâ€™Agenzia delle Entrate e di Agenzia delle entrate Riscossione per l'anno 2021</t>
  </si>
  <si>
    <t xml:space="preserve">IL SOLE 24ORE S.P.A. (CF: 00777910159)
</t>
  </si>
  <si>
    <t>IL SOLE 24ORE S.P.A. (CF: 00777910159)</t>
  </si>
  <si>
    <t>Sottoscrizione all'Osservatorio sul mercato immobiliare - Anno 2021</t>
  </si>
  <si>
    <t xml:space="preserve">NOMISMA SOCIETÃ  DI STUDI ECONOMICI SPA (CF: 02243430374)
</t>
  </si>
  <si>
    <t>NOMISMA SOCIETÃ  DI STUDI ECONOMICI SPA (CF: 02243430374)</t>
  </si>
  <si>
    <t>Buoni pasto Direzioni Centrali</t>
  </si>
  <si>
    <t xml:space="preserve">REPAS LUNCH COUPON SRL (CF: 08122660585)
</t>
  </si>
  <si>
    <t>REPAS LUNCH COUPON SRL (CF: 08122660585)</t>
  </si>
  <si>
    <t>Noleggio quadriennale veicolo commerciale DR Toscana</t>
  </si>
  <si>
    <t>Noleggio quadriennale veicolo DR Toscana</t>
  </si>
  <si>
    <t>Codice inserzione 2100000541 Aggiudicazione riscossione tributi</t>
  </si>
  <si>
    <t xml:space="preserve">ISTITUTO POLIGRAFICO E ZECCA DELLO STATO (CF: 00399810589)
</t>
  </si>
  <si>
    <t>ISTITUTO POLIGRAFICO E ZECCA DELLO STATO (CF: 00399810589)</t>
  </si>
  <si>
    <t>Gestione trasferte di lavoro</t>
  </si>
  <si>
    <t xml:space="preserve">CISALPINA TOURS S.P.A. (CF: 00637950015)
</t>
  </si>
  <si>
    <t>CISALPINA TOURS S.P.A. (CF: 00637950015)</t>
  </si>
  <si>
    <t>Noleggio veicolo commerciale DR Lazio</t>
  </si>
  <si>
    <t>Fornitura di sistema di controllo accessi a 1 testina e manutenzione triennale</t>
  </si>
  <si>
    <t>Noleggio quadriennale Fiat Tipo DR Campania</t>
  </si>
  <si>
    <t>Adeguamento gruppo elettrogeno</t>
  </si>
  <si>
    <t xml:space="preserve">TECNOGRUPPI SRL (CF: 12653101001)
</t>
  </si>
  <si>
    <t>TECNOGRUPPI SRL (CF: 12653101001)</t>
  </si>
  <si>
    <t>Lavori di manutenzione ordinaria e di adeguamento al D.lgs.81/08 delle sedi delle Direzioni Centrali di Via Giorgione n.106, n.159 e largo Leopardi 5</t>
  </si>
  <si>
    <t xml:space="preserve">CONSORZIO ETHOS FACILITY SRL (CF: 12579751004)
GLOBAL SERVICE SRL (CF: 15319181002)
LATER SRL (CF: 12618631001)
LATTANZI SRL (CF: 05363631002)
PIERALISI SRL (CF: 02676520592)
</t>
  </si>
  <si>
    <t>PIERALISI SRL (CF: 02676520592)</t>
  </si>
  <si>
    <t>Fornitura ed installazione di Scan detector a tecnologia radiogena e portali per il controllo persone e manutenzione quadriennale per le Direzioni Centrali</t>
  </si>
  <si>
    <t xml:space="preserve">SECURITALY SRL (CF: 03558340406)
</t>
  </si>
  <si>
    <t>SECURITALY SRL (CF: 03558340406)</t>
  </si>
  <si>
    <t>Contratto di appalto per lâ€™affidamento del servizio di brokeraggio assicurativo per lâ€™Agenzia delle Entrate e per lâ€™Agenzia delle Entrate-Riscossione</t>
  </si>
  <si>
    <t xml:space="preserve">RAGGRUPPAMENTO:
- AON SPA (CF: 10203070155) Ruolo: 02-MANDATARIA
- CONSULBROKERS SPA (CF: 00970250767) Ruolo: 01-MANDANTE
DE BESI-DI GIACOMO S.P.A. (CF: 01330590587)
GBSAPRI SPA (CF: 12079170150)
MARSH SPA (CF: 01699520159)
WILLIS ITALIA SPA (CF: 03902220486)
</t>
  </si>
  <si>
    <t>GBSAPRI SPA (CF: 12079170150)</t>
  </si>
  <si>
    <t>Mascherine chirurgiche monouso</t>
  </si>
  <si>
    <t xml:space="preserve">CLEAN ENERGY SRL (CF: 02492280306)
G.M. FASHION GROUP S.R.L. (CF: 08663331216)
GLF S.A.S DI CIANCIO MARILENA ALESSANDRA E C (CF: 03073420782)
ITALORTOPEDIA SRL (CF: 09076931212)
MABE SRL (CF: 02969620133)
</t>
  </si>
  <si>
    <t>GLF S.A.S DI CIANCIO MARILENA ALESSANDRA E C (CF: 03073420782)</t>
  </si>
  <si>
    <t>Gasolio da riscaldamento Gen/Mar 2021 Sede Largo Leopardi</t>
  </si>
  <si>
    <t>Servizio di verifica della vulnerabilitÃ  sismica dell'immobile demaniale sito in Roma, Largo Leopardi</t>
  </si>
  <si>
    <t xml:space="preserve">RAGGRUPPAMENTO:
- VE.MA. PROGETTI S.R.L. (CF: 02077520688) Ruolo: 02-MANDATARIA
- S.A.G.I. SRL (CF: 01276770441) Ruolo: 01-MANDANTE
OMEGA S.R.L. (CF: 01246890097)
S.P.A.R.T.A. S.R.L. (CF: 01475930937)
TECHNOSIDE S.R.L. (CF: 04057740872)
TERRE LEGGERE S.R.L. (CF: 02842060648)
</t>
  </si>
  <si>
    <t xml:space="preserve">RAGGRUPPAMENTO:
- VE.MA. PROGETTI S.R.L. (CF: 02077520688) Ruolo: 02-MANDATARIA
- S.A.G.I. SRL (CF: 01276770441) Ruolo: 01-MANDANTE
</t>
  </si>
  <si>
    <t>Gasolio da riscaldamento Gen/Feb 2021- Giorgione 159</t>
  </si>
  <si>
    <t>Servizio di traduzione di modulistica di carattere fiscale</t>
  </si>
  <si>
    <t xml:space="preserve">MILANO TRADUZIONI S.A.S. DI ANNA RECHNOVA &amp; C. (CF: 08001080962)
</t>
  </si>
  <si>
    <t>MILANO TRADUZIONI S.A.S. DI ANNA RECHNOVA &amp; C. (CF: 08001080962)</t>
  </si>
  <si>
    <t>Servizio di sorveglianza fisica della protezione contro le radiazioni ionizzanti ai sensi del D.Lgs. 230/95 e s.m.i., in particolare al D.Lgs. n. 101 del 31 luglio 2020 per la detenzione di apparecchiature radiogene installate presso DC</t>
  </si>
  <si>
    <t xml:space="preserve">IAT SRL (CF: 06017310589)
</t>
  </si>
  <si>
    <t>IAT SRL (CF: 06017310589)</t>
  </si>
  <si>
    <t>Contratto di appalto per lâ€™affidamento del servizio di brokeraggio assicurativo per lâ€™Agenzia delle Entrate e per lâ€™Agenzia delle Entrate-Riscossione - Contratto esecutivo</t>
  </si>
  <si>
    <t xml:space="preserve">GBSAPRI SPA (CF: 12079170150)
</t>
  </si>
  <si>
    <t>Energia Giorgione 159 - parti comuni 18 mesi: 2021-2022</t>
  </si>
  <si>
    <t>Iscrizione al corso di perfezionamento in Blockchain Technology and Management (BTM)</t>
  </si>
  <si>
    <t xml:space="preserve">UNIVERSITA' DEGLI STUDI ROMA TRE (CF: 04400441004)
</t>
  </si>
  <si>
    <t>UNIVERSITA' DEGLI STUDI ROMA TRE (CF: 04400441004)</t>
  </si>
  <si>
    <t>Rinnovo della protezione mediante la registrazione No.009754921 dellâ€™Unione Europea, per il marchio figurativo afferente lâ€™ex Agenzia del Territorio</t>
  </si>
  <si>
    <t xml:space="preserve">BARZANÃ² E ZANARDO ROMA S.P.A. (CF: 05051840584)
</t>
  </si>
  <si>
    <t>BARZANÃ² E ZANARDO ROMA S.P.A. (CF: 05051840584)</t>
  </si>
  <si>
    <t>Materiale informatico vario</t>
  </si>
  <si>
    <t xml:space="preserve">IMPIANTI SPA (CF: 01989510134)
</t>
  </si>
  <si>
    <t>IMPIANTI SPA (CF: 01989510134)</t>
  </si>
  <si>
    <t>Gasolio da riscaldamento Mar/Apr 2021- Giorgione 159</t>
  </si>
  <si>
    <t>Batterie ed elettrodi per defibrillatori</t>
  </si>
  <si>
    <t xml:space="preserve">SUNNEXT SRL (CF: 07394350966)
</t>
  </si>
  <si>
    <t>SUNNEXT SRL (CF: 07394350966)</t>
  </si>
  <si>
    <t>Organizzazione e svolgimento di corsi di lingue straniere per i funzionari degli uffici centrali dellâ€™Agenzia delle entrate impegnati in misura prevalente in attivitÃ  internazionali</t>
  </si>
  <si>
    <t xml:space="preserve">AUTHENTIC ENTERPRISE SOLUTIONS SRL (CF: 09342931004)
EASY LIFE GROUP SRL (CF: 03550371003)
EUROFORM RFS (CF: 98030530780)
INVENTA WIDE SRL (CF: 05178760822)
LANGUAGE ACADEMY  SOCIETA' COOPERATIVA (CF: 11565681001)
</t>
  </si>
  <si>
    <t>Facchinaggio interno ed esterno ADE/ADER - Lotto 1 Piemonte e Valle d'Aosta</t>
  </si>
  <si>
    <t xml:space="preserve">CONSORZIO GE.SE.AV. (CF: 01843430560)
COOPSERVICE S.COOP.P.A. (CF: 00310180351)
IL RISVEGLIO SOC COOP.SOCIALE ARL (CF: 12018841002)
S A F S.R.L. (CF: 04529881213)
SCALA ENTERPRISE S.R.L. (CF: 05594340639)
</t>
  </si>
  <si>
    <t>IL RISVEGLIO SOC COOP.SOCIALE ARL (CF: 12018841002)</t>
  </si>
  <si>
    <t>Facchinaggio interno ed esterno ADE/ADER - Lotto 6 Abruzzo e Marche</t>
  </si>
  <si>
    <t xml:space="preserve">CONSORZIO PROGETTO MULTISERVIZI (CF: 02226920599)
COOPSERVICE S.COOP.P.A. (CF: 00310180351)
IL RISVEGLIO SOC COOP.SOCIALE ARL (CF: 12018841002)
SANTA BRIGIDA SOCIETA COOP.VA PER AZIONI (CF: 04161790631)
SCALA ENTERPRISE S.R.L. (CF: 05594340639)
</t>
  </si>
  <si>
    <t>Facchinaggio interno ed esterno ADE/ADER - Lotto 9 Molise e Puglia</t>
  </si>
  <si>
    <t xml:space="preserve">CONSORZIO PROGETTO MULTISERVIZI (CF: 02226920599)
F.LLI PIERO E FRANCO CRITELLI SRL (CF: 01261400798)
IL RISVEGLIO SOC COOP.SOCIALE ARL (CF: 12018841002)
SANTA BRIGIDA SOCIETA COOP.VA PER AZIONI (CF: 04161790631)
SCALA ENTERPRISE S.R.L. (CF: 05594340639)
</t>
  </si>
  <si>
    <t>Facchinaggio interno ed esterno ADE/ADER - Lotto 3 Friuli Venezia Giulia, Trentino Alto Adige e Veneto</t>
  </si>
  <si>
    <t xml:space="preserve">AEROLOGISTIK S.R.L (CF: 09261030150)
COOPSERVICE S.COOP.P.A. (CF: 00310180351)
</t>
  </si>
  <si>
    <t>COOPSERVICE S.COOP.P.A. (CF: 00310180351)</t>
  </si>
  <si>
    <t>Facchinaggio interno ed esterno ADE/ADER - Lotto 4 Emilia Romagna e Liguria</t>
  </si>
  <si>
    <t xml:space="preserve">AEROLOGISTIK S.R.L (CF: 09261030150)
COOPSERVICE S.COOP.P.A. (CF: 00310180351)
S A F S.R.L. (CF: 04529881213)
SCALA ENTERPRISE S.R.L. (CF: 05594340639)
</t>
  </si>
  <si>
    <t>SCALA ENTERPRISE S.R.L. (CF: 05594340639)</t>
  </si>
  <si>
    <t>Facchinaggio interno ed esterno ADE/ADER - Lotto 5 Toscana e Umbria</t>
  </si>
  <si>
    <t xml:space="preserve">CONSORZIO PROGETTO MULTISERVIZI (CF: 02226920599)
COOPSERVICE S.COOP.P.A. (CF: 00310180351)
IL RISVEGLIO SOC COOP.SOCIALE ARL (CF: 12018841002)
SCALA ENTERPRISE S.R.L. (CF: 05594340639)
</t>
  </si>
  <si>
    <t>Facchinaggio interno ed esterno ADE/ADER Lotto 7 Direzioni Centrali - Contratto esecutivo</t>
  </si>
  <si>
    <t xml:space="preserve">COOPSERVICE S.COOP.P.A. (CF: 00310180351)
</t>
  </si>
  <si>
    <t>Gas Naturale stagione 2021-2022 Giorgione 106</t>
  </si>
  <si>
    <t>Servizio di allestimento autovettura Fiat Tipo tipo civetta e relativo aggiornamento carta di circolazione</t>
  </si>
  <si>
    <t xml:space="preserve">CITA SECONDA SRL (CF: 05097410582)
ELEVOX SRL (CF: 06615320584)
GRUPPO M.C. VEICOLI SPECIALI SRL (CF: 14497111006)
</t>
  </si>
  <si>
    <t>ELEVOX SRL (CF: 06615320584)</t>
  </si>
  <si>
    <t>Fornitura e posa in opera di doghe murali e pannellature in PVC</t>
  </si>
  <si>
    <t>Campionamento ed analisi fibre di amianto aerodisperse mediante tecnica SEM</t>
  </si>
  <si>
    <t xml:space="preserve">CHELAB SRL (CF: 01500900269)
</t>
  </si>
  <si>
    <t>CHELAB SRL (CF: 01500900269)</t>
  </si>
  <si>
    <t>Riscossione tributi con modalitÃ  elettroniche</t>
  </si>
  <si>
    <t xml:space="preserve">BANCA NAZIONALE DEL LAVORO SPA (CF: 09339391006)
</t>
  </si>
  <si>
    <t>BANCA NAZIONALE DEL LAVORO SPA (CF: 09339391006)</t>
  </si>
  <si>
    <t>Acquisto pubblicazione</t>
  </si>
  <si>
    <t xml:space="preserve">ANGLO AMERICAN BOOK CO. SRL (CF: 00391590585)
</t>
  </si>
  <si>
    <t>ANGLO AMERICAN BOOK CO. SRL (CF: 00391590585)</t>
  </si>
  <si>
    <t>Consultazione e scarico Norme tecniche on-line</t>
  </si>
  <si>
    <t>Gasolio da riscaldamento Aprile 2021- Giorgione 159</t>
  </si>
  <si>
    <t>Intervento radicale di derattizzazione, dezanzarizzazione e deblattizzazione per la sede di Via Licini</t>
  </si>
  <si>
    <t xml:space="preserve">ECO IN SRL (CF: 06566891005)
</t>
  </si>
  <si>
    <t>ECO IN SRL (CF: 06566891005)</t>
  </si>
  <si>
    <t>Fornitura e posa in opera di condizionatori a pompa di calore mono/multi split</t>
  </si>
  <si>
    <t xml:space="preserve">LAITECH SRL (CF: 14329411004)
</t>
  </si>
  <si>
    <t>LAITECH SRL (CF: 14329411004)</t>
  </si>
  <si>
    <t>Indagine di mercato per la quotazione del servizio per l'espletamento a distanza dei concorsi dell'Agenzia delle Entrate</t>
  </si>
  <si>
    <t xml:space="preserve">ERNST E YOUNG ADVISORY S.P.A. (CF: 13221390159)
</t>
  </si>
  <si>
    <t>ERNST E YOUNG ADVISORY S.P.A. (CF: 13221390159)</t>
  </si>
  <si>
    <t>Corso di aerofotogrammetria con lâ€™impiego di Aerei a Pilotaggio Remoto (APR) e del software ArcGIS</t>
  </si>
  <si>
    <t xml:space="preserve">POLITECNICO DI TORINO (CF: 00518460019)
</t>
  </si>
  <si>
    <t>POLITECNICO DI TORINO (CF: 00518460019)</t>
  </si>
  <si>
    <t>Sostituzione Hard Disk iMac</t>
  </si>
  <si>
    <t xml:space="preserve">MANUTECH SRL (CF: 06786301009)
</t>
  </si>
  <si>
    <t>MANUTECH SRL (CF: 06786301009)</t>
  </si>
  <si>
    <t>Effettuazione di tamponi antigenici rapidi per Covid-19 per i dipendenti dellâ€™Agenzia delle Entrate</t>
  </si>
  <si>
    <t xml:space="preserve">CAN.BI.AS LAB. ANALISI CLINICHE CARAVAGGIO S.R.L. (CF: 02067430583)
</t>
  </si>
  <si>
    <t>CAN.BI.AS LAB. ANALISI CLINICHE CARAVAGGIO S.R.L. (CF: 02067430583)</t>
  </si>
  <si>
    <t>Fornitura di un frigorifero a incasso</t>
  </si>
  <si>
    <t xml:space="preserve">MR SERVICE SRL (CF: 12479491008)
</t>
  </si>
  <si>
    <t>MR SERVICE SRL (CF: 12479491008)</t>
  </si>
  <si>
    <t xml:space="preserve">AUTHENTIC ENTERPRISE SOLUTIONS SRL (CF: 09342931004)
EUROSTREET SOCIETA COOPERATIVA (CF: 00654080076)
INTERMEDIATE SRL (CF: 09229211009)
MILANO TRADUZIONI S.A.S. DI ANNA RECHNOVA &amp; C. (CF: 08001080962)
STUDIO MORETTO GROUP S.R.L. (CF: 02936070982)
</t>
  </si>
  <si>
    <t>Polizza di assicurazione della responsabilitÃ  professionale dei progettisti dipendenti dell'Agenzia</t>
  </si>
  <si>
    <t xml:space="preserve">ASSIGECO SRL (CF: 08958920152)
</t>
  </si>
  <si>
    <t>ASSIGECO SRL (CF: 08958920152)</t>
  </si>
  <si>
    <t>Iscrizione al corso di formazione a distanza Gestione Rifiuti-Waste Manager nel periodo dal 18 maggio 2021 al 23 giugno 2021</t>
  </si>
  <si>
    <t xml:space="preserve">TUTTOAMBIENTE SPA (CF: 01360130338)
</t>
  </si>
  <si>
    <t>TUTTOAMBIENTE SPA (CF: 01360130338)</t>
  </si>
  <si>
    <t>Fornitura mobili e arredi da ufficio</t>
  </si>
  <si>
    <t xml:space="preserve">CORRIDI S.R.L. (CF: 00402140586)
</t>
  </si>
  <si>
    <t>CORRIDI S.R.L. (CF: 00402140586)</t>
  </si>
  <si>
    <t>Interpretariato LIS a favore di personale con deficit uditivo</t>
  </si>
  <si>
    <t xml:space="preserve">COUNSELIS COOP. SOCIALE (CF: 07585501211)
</t>
  </si>
  <si>
    <t>COUNSELIS COOP. SOCIALE (CF: 07585501211)</t>
  </si>
  <si>
    <t>Concessione del servizio di distribuzione automatica di bevande calde, fredde e snack, a ridotto impatto ambientale, mediante installazione e gestione di distributori per le strutture centrali dellâ€™Agenzia delle Entrate</t>
  </si>
  <si>
    <t xml:space="preserve">DESIDERIO ESPRESSO SRL (CF: 14194451002)
</t>
  </si>
  <si>
    <t>DESIDERIO ESPRESSO SRL (CF: 14194451002)</t>
  </si>
  <si>
    <t>Servizio di supporto di conoscenza sullâ€™innovazione tecnologica e accesso a banche dati denominato Executive Programs Leadership Team</t>
  </si>
  <si>
    <t>Toner per le strutture centrali</t>
  </si>
  <si>
    <t xml:space="preserve">PROMO RIGENERA SRL (CF: 01431180551)
</t>
  </si>
  <si>
    <t>PROMO RIGENERA SRL (CF: 01431180551)</t>
  </si>
  <si>
    <t xml:space="preserve">DEI SRL (CF: 04083101008)
</t>
  </si>
  <si>
    <t>DEI SRL (CF: 04083101008)</t>
  </si>
  <si>
    <t>Erogazione corso di aggiornamento di 40 ore per RSPP in modalitÃ  e-learning (fruizione libera di moduli formativi a distanza)</t>
  </si>
  <si>
    <t xml:space="preserve">T.D.V. S.R.L. (CF: 14797911006)
</t>
  </si>
  <si>
    <t>T.D.V. S.R.L. (CF: 14797911006)</t>
  </si>
  <si>
    <t xml:space="preserve">FARMACIE COLI SNC (CF: 08217151003)
</t>
  </si>
  <si>
    <t>FARMACIE COLI SNC (CF: 08217151003)</t>
  </si>
  <si>
    <t>Gestione integrata sicurezza sedi centrali 2021/2024</t>
  </si>
  <si>
    <t xml:space="preserve">RAGGRUPPAMENTO:
- SINTESI SPA (CF: 03533961003) Ruolo: 02-MANDATARIA
- ADECCO FORMAZIONE SRL (CF: 13081080155) Ruolo: 01-MANDANTE
- ARCHE' SOCIETA' COOPERATIVA (CF: 10437871006) Ruolo: 01-MANDANTE
- CSA TEAM S.R.L. (CF: 01764710669) Ruolo: 01-MANDANTE
- NIER INGEGNERIA S.P.A. (CF: 02242161202) Ruolo: 01-MANDANTE
- PROJIT S.R.L. (CF: 07273351002) Ruolo: 01-MANDANTE
- SINTESI SANITA SRL (CF: 14530191007) Ruolo: 01-MANDANTE
</t>
  </si>
  <si>
    <t>Energia Elettrica da fonte rinnovabile per le sedi centrali - 2021/2022</t>
  </si>
  <si>
    <t>Conduzione e manutenzione degli impianti termoidraulici, di condizionamento ed idricosanitari presso le sedi delle direzioni centrali dellâ€™Agenzia delle Entrate in Roma</t>
  </si>
  <si>
    <t xml:space="preserve">BURLANDI FRANCO SRL (CF: 04571101007)
</t>
  </si>
  <si>
    <t>Manutenzione degli impianti antintrusione, videosorveglianza e controllo accessi presso le sedi delle direzioni centrali dellâ€™Agenzia delle Entrate in Roma</t>
  </si>
  <si>
    <t xml:space="preserve">ALERZ SRL (CF: 11854621007)
</t>
  </si>
  <si>
    <t>ALERZ SRL (CF: 11854621007)</t>
  </si>
  <si>
    <t>Realizzazione della campagna di comunicazione â€œlâ€™innovazione tecnologica al servizio del cittadino - nuovo modello di accoglienza negli uffici e dichiarazioneâ€</t>
  </si>
  <si>
    <t xml:space="preserve">POMILIO BLUMM SRL (CF: 01304780685)
</t>
  </si>
  <si>
    <t>POMILIO BLUMM SRL (CF: 01304780685)</t>
  </si>
  <si>
    <t>Fornitura e posa in opera di varie tende a pannello in tessuto Etamine F.V. Bianco completa di binario avorio con comando</t>
  </si>
  <si>
    <t xml:space="preserve">LI.RO. SRL (CF: 07262380582)
</t>
  </si>
  <si>
    <t>LI.RO. SRL (CF: 07262380582)</t>
  </si>
  <si>
    <t>Corso di aggiornamento di 40 ore per professionisti antincendio ai sensi del D.M. 05/08/2011 in modalitÃ  FAD</t>
  </si>
  <si>
    <t xml:space="preserve">ORDINE DEGLI INGEGNERI DI FROSINONE (CF: 80006430609)
</t>
  </si>
  <si>
    <t>ORDINE DEGLI INGEGNERI DI FROSINONE (CF: 80006430609)</t>
  </si>
  <si>
    <t>Manutenzione impianti elettrici, speciali e rete dati presso sedi centrali</t>
  </si>
  <si>
    <t xml:space="preserve">T.I.R.E.S. SRL (CF: 06004130016)
</t>
  </si>
  <si>
    <t>Fornitura di n.20 condizionatori portatili</t>
  </si>
  <si>
    <t>Abbonamento full al sito Certifico.com</t>
  </si>
  <si>
    <t xml:space="preserve">CERTIFICO SRL (CF: 02442650541)
</t>
  </si>
  <si>
    <t>CERTIFICO SRL (CF: 02442650541)</t>
  </si>
  <si>
    <t>Acquisto pubblicazioni editoriali</t>
  </si>
  <si>
    <t xml:space="preserve">GIUFFRÃ¨ FRANCIS LEFEBVRE S.P.A (CF: 00829840156)
</t>
  </si>
  <si>
    <t>GIUFFRÃ¨ FRANCIS LEFEBVRE S.P.A (CF: 00829840156)</t>
  </si>
  <si>
    <t>Manutenzione impianti antincendio presso sedi centrali</t>
  </si>
  <si>
    <t xml:space="preserve">GIELLE DI LUIGI GALANTUCCI (CF: GLNLGU41P28I907Q)
</t>
  </si>
  <si>
    <t>GIELLE DI LUIGI GALANTUCCI (CF: GLNLGU41P28I907Q)</t>
  </si>
  <si>
    <t>Acquisto del corso â€œArticulate Storyline Livello: Proâ€</t>
  </si>
  <si>
    <t xml:space="preserve">MOSAICOELEARNING SRL (CF: 01638210888)
</t>
  </si>
  <si>
    <t>MOSAICOELEARNING SRL (CF: 01638210888)</t>
  </si>
  <si>
    <t>Licenze di utilizzo del software ACCA, degli aggiornamenti e dei servizi aggiuntivi</t>
  </si>
  <si>
    <t xml:space="preserve">3DLIFE SRL (CF: 01654040763)
ACCA SOFTWARE SPA (CF: 01883740647)
GERMANO GHIAZZA CONSULTING (CF: GHZGMN62A15L219W)
POWERMEDIA SRL (CF: 04440930826)
TECHNE SRL (CF: 01121580490)
</t>
  </si>
  <si>
    <t>TECHNE SRL (CF: 01121580490)</t>
  </si>
  <si>
    <t>Pubblicazione Aggiudicazione reception Lotto 7</t>
  </si>
  <si>
    <t>Acquisizione di apparati VDC per la sede di Largo Leopardi</t>
  </si>
  <si>
    <t>Fornitura di n. 20 vetrocamera con visarm</t>
  </si>
  <si>
    <t xml:space="preserve">MP GLASS SAS DI MAURIZIO PENNA (CF: 02747560601)
</t>
  </si>
  <si>
    <t>MP GLASS SAS DI MAURIZIO PENNA (CF: 02747560601)</t>
  </si>
  <si>
    <t>Servizio di bonifica e sanificazione degli impianti HVAC sede centrale di Via Giorgione 159</t>
  </si>
  <si>
    <t xml:space="preserve">FIROTEK SRL (CF: 04156061006)
</t>
  </si>
  <si>
    <t>FIROTEK SRL (CF: 04156061006)</t>
  </si>
  <si>
    <t>Servizi di stampa, imbustamento/trattamento e conferimento della corrispondenza - Lotto 1 Agenzia delle Entrate</t>
  </si>
  <si>
    <t xml:space="preserve">ABRAMO PRINTING &amp; LOGISTICS S.P.A. (CF: 00166800797)
LEADERFORM SPA (CF: 02696070230)
POSTEL SPA (CF: 04839740489)
POZZONI SPA (CF: 02732060161)
SELECTA SPA (CF: 01961900246)
</t>
  </si>
  <si>
    <t>LEADERFORM SPA (CF: 02696070230)</t>
  </si>
  <si>
    <t>Servizi di stampa, imbustamento/trattamento e conferimento della corrispondenza - Lotto 1 Agenzia delle Entrate - Contratto esecutivo</t>
  </si>
  <si>
    <t xml:space="preserve">LEADERFORM SPA (CF: 02696070230)
</t>
  </si>
  <si>
    <t>Pubblicazione legale su quotidiani dellâ€™avviso di appalto aggiudicato per lâ€™affidamento del servizio di reception per le sedi delle Direzioni Centrali e di alcune Direzioni Regionali dellâ€™Agenzia delle Entrate - Lotto 7</t>
  </si>
  <si>
    <t xml:space="preserve">PUBBLIGARE MANAGEMENT SRL (CF: 12328591008)
</t>
  </si>
  <si>
    <t>Pubblicazione bando gara carta</t>
  </si>
  <si>
    <t>Servizi di raccolta e recapito della corrispondenza di Agenzia delle Entrate, Agenzia delle entrate-Riscossione e Riscossione Sicilia S.p.A., oltre che dei relativi servizi connessi - Lotto 2 NORD</t>
  </si>
  <si>
    <t xml:space="preserve">NEXIVE NETWORK SRL (CF: 11261130964)
POSTE ITALIANE SPA (CF: 97103880585)
</t>
  </si>
  <si>
    <t>Servizi di raccolta e recapito della corrispondenza di Agenzia delle Entrate, Agenzia delle entrate-Riscossione e Riscossione Sicilia S.p.A., oltre che dei relativi servizi connessi - Lotto 2 NORD - Contratto esecutivo</t>
  </si>
  <si>
    <t xml:space="preserve">POSTE ITALIANE SPA (CF: 97103880585)
</t>
  </si>
  <si>
    <t>Servizi di raccolta e recapito della corrispondenza di Agenzia delle Entrate, Agenzia delle entrate-Riscossione e Riscossione Sicilia S.p.A., oltre che dei relativi servizi connessi - Lotto 3 CENTRO</t>
  </si>
  <si>
    <t>Servizi di raccolta e recapito della corrispondenza di Agenzia delle Entrate, Agenzia delle entrate-Riscossione e Riscossione Sicilia S.p.A., oltre che dei relativi servizi connessi - Lotto 3 CENTRO - Contratto esecutivo</t>
  </si>
  <si>
    <t>Servizi di raccolta e recapito della corrispondenza di Agenzia delle Entrate, Agenzia delle entrate-Riscossione e Riscossione Sicilia S.p.A., oltre che dei relativi servizi connessi - Lotto 4 SUD</t>
  </si>
  <si>
    <t xml:space="preserve">RAGGRUPPAMENTO:
- NEXIVE NETWORK SRL (CF: 11261130964) Ruolo: 02-MANDATARIA
- CONSORZIO STABILE OLIMPO (CF: 05036060829) Ruolo: 01-MANDANTE
POSTE ITALIANE SPA (CF: 97103880585)
</t>
  </si>
  <si>
    <t>Servizi di raccolta e recapito della corrispondenza di Agenzia delle Entrate, Agenzia delle entrate-Riscossione e Riscossione Sicilia S.p.A., oltre che dei relativi servizi connessi - Lotto 4 SUD - Contratto esecutivo</t>
  </si>
  <si>
    <t xml:space="preserve">CLEUP SC (CF: 00252470281)
</t>
  </si>
  <si>
    <t>CLEUP SC (CF: 00252470281)</t>
  </si>
  <si>
    <t>Codice inserzione 2100029773 - Aggiudicazione recption Lotti 1, 2, 3, 5, 6, 8, 9</t>
  </si>
  <si>
    <t>Servizi necessari per il progetto sperimentale, per lâ€™anno scolastico 2021-2022, per la realizzazione di un progetto di comunicazione sociale per la diffusione della legalitÃ  fiscale nelle scuole</t>
  </si>
  <si>
    <t xml:space="preserve">STEED SRL (CF: 06442631005)
</t>
  </si>
  <si>
    <t>STEED SRL (CF: 06442631005)</t>
  </si>
  <si>
    <t>Vigilanza privata - Lotto 10 (DC/DG) -2Â° Contratto esecutivo</t>
  </si>
  <si>
    <t>Monitor Touch con funzione di lavagna interattiva con supporto per montaggio a parete</t>
  </si>
  <si>
    <t xml:space="preserve">DPS INFORMATICA S.N.C. DI PRESELLO GIANNI &amp; C. (CF: 01486330309)
</t>
  </si>
  <si>
    <t>DPS INFORMATICA S.N.C. DI PRESELLO GIANNI &amp; C. (CF: 01486330309)</t>
  </si>
  <si>
    <t>Servizi di raccolta e recapito della corrispondenza di Agenzia delle Entrate, oltre che dei relativi servizi connessi - Lotto 1 CF/TS/TS-CNS</t>
  </si>
  <si>
    <t>Fornitura Cassaforte HS/20</t>
  </si>
  <si>
    <t xml:space="preserve">D'AMICO S.R.L. FORNITURE E SERVIZI (CF: 08703561004)
</t>
  </si>
  <si>
    <t>D'AMICO S.R.L. FORNITURE E SERVIZI (CF: 08703561004)</t>
  </si>
  <si>
    <t>Manutenzione impianti elevatori presso sedi delle Direzioni Centrali</t>
  </si>
  <si>
    <t xml:space="preserve">FERRARI &amp; C SRL (CF: 00489490581)
</t>
  </si>
  <si>
    <t>FERRARI &amp; C SRL (CF: 00489490581)</t>
  </si>
  <si>
    <t>Codice inserzione 2100033440 - Bando di gara Errors and Omissions</t>
  </si>
  <si>
    <t>Procedura per lâ€™acquisizione dei servizi di pubblicazione legale degli estratti dei bandi di gara e degli avvisi dellâ€™Agenzia delle Entrate su n. 2 quotidiani cartacei a diffusione nazionale e su n. 2 quotidiani cartacei a diffusione locale</t>
  </si>
  <si>
    <t xml:space="preserve">AGI SRL (CF: 01724830763)
</t>
  </si>
  <si>
    <t>AGI SRL (CF: 01724830763)</t>
  </si>
  <si>
    <t>Fornitura, stampa e consegna di biglietti da visita</t>
  </si>
  <si>
    <t xml:space="preserve">ELIOGRAFICA S.N.C (CF: 03746581002)
</t>
  </si>
  <si>
    <t>ELIOGRAFICA S.N.C (CF: 03746581002)</t>
  </si>
  <si>
    <t>Servizio di verifica ai sensi del d.p.r. 426/01 art.4 degli impianti di messa a terra presso le sedi dellâ€™Agenzia delle Entrate di Roma</t>
  </si>
  <si>
    <t xml:space="preserve">ISTITUTO COLLAUDI E VERIFICHE S.P.A. (CF: 15503551002)
</t>
  </si>
  <si>
    <t>ISTITUTO COLLAUDI E VERIFICHE S.P.A. (CF: 15503551002)</t>
  </si>
  <si>
    <t>Fornitura pavimentazione in PVC</t>
  </si>
  <si>
    <t xml:space="preserve">ARTIGIANA MOQUETTES SRL (CF: 04027931007)
</t>
  </si>
  <si>
    <t>ARTIGIANA MOQUETTES SRL (CF: 04027931007)</t>
  </si>
  <si>
    <t>Abbonamento annuale di n. 2 utenze SmartNet NRTK FULL GNSS Unlimited</t>
  </si>
  <si>
    <t xml:space="preserve">LEICA GEOSYSTEMS SPA (CF: 12090330155)
</t>
  </si>
  <si>
    <t>LEICA GEOSYSTEMS SPA (CF: 12090330155)</t>
  </si>
  <si>
    <t>Noleggio 39 Multifunzione per sedi Giorgione 2A e Licini</t>
  </si>
  <si>
    <t xml:space="preserve">ITD SOLUTIONS SPA (CF: 05773090013)
</t>
  </si>
  <si>
    <t>ITD SOLUTIONS SPA (CF: 05773090013)</t>
  </si>
  <si>
    <t>Noleggio apparecchiature multifunzione</t>
  </si>
  <si>
    <t xml:space="preserve">GLF S.A.S DI CIANCIO MARILENA ALESSANDRA E C (CF: 03073420782)
</t>
  </si>
  <si>
    <t>Erogazione e consultazione di sistemi documentali giuridici online nelle materie fiscali, bilancio e legale</t>
  </si>
  <si>
    <t xml:space="preserve">IL SOLE 24ORE S.P.A. (CF: 00777910159)
WOLTERS KLUWER ITALIA SRL (CF: 10209790152)
</t>
  </si>
  <si>
    <t>Fornitura distruggidocumenti</t>
  </si>
  <si>
    <t xml:space="preserve">WICON ITALIA SRL (CF: 08155160966)
</t>
  </si>
  <si>
    <t>WICON ITALIA SRL (CF: 08155160966)</t>
  </si>
  <si>
    <t>Conduzione e manutenzione degli impianti termoidraulici, di condizionamento ed idricosanitari presso le sedi delle direzioni centrali dellâ€™Agenzia delle Entrate</t>
  </si>
  <si>
    <t>Servizio di reception - Lotto 7 (Lazio, DC)</t>
  </si>
  <si>
    <t xml:space="preserve">BATTISTOLLI SERVIZI INTEGRATI S.R.L. (CF: 03897120246)
COSMOPOL SECURITY SRL (CF: 02849920588)
GRUPPO SERVIZI ASSOCIATI S.P.A. (CF: 01484180391)
ISTITUTO DI VIGILANZA DELL'URBE S.P.A. (CF: 05800441007)
KSM S.P.A. (CF: 80020430825)
</t>
  </si>
  <si>
    <t>GRUPPO SERVIZI ASSOCIATI S.P.A. (CF: 01484180391)</t>
  </si>
  <si>
    <t>Servizio di reception - Contratto esecutivo Direzioni Centrali</t>
  </si>
  <si>
    <t xml:space="preserve">GRUPPO SERVIZI ASSOCIATI S.P.A. (CF: 01484180391)
</t>
  </si>
  <si>
    <t>Acquisto licenze SW ACCA</t>
  </si>
  <si>
    <t xml:space="preserve">ACCA SOFTWARE SPA (CF: 01883740647)
CSC SRL (CF: 02474090905)
EASYNET SRL (CF: 02220860130)
FATICONI SPA (CF: 01117510923)
POWERMEDIA SRL (CF: 04440930826)
</t>
  </si>
  <si>
    <t>ACCA SOFTWARE SPA (CF: 01883740647)</t>
  </si>
  <si>
    <t>Servizio di reception - Lotto 1 (Lombardia)</t>
  </si>
  <si>
    <t xml:space="preserve">BATTISTOLLI SERVIZI INTEGRATI S.R.L. (CF: 03897120246)
GRUPPO SERVIZI ASSOCIATI S.P.A. (CF: 01484180391)
I.V.R.I. ISTITUTI DI VIGILANZA RIUNITI Dâ€™ITALIA (CF: 04643180963)
ISTITUTO DI VIGILANZA DELL'URBE S.P.A. (CF: 05800441007)
SCALA ENTERPRISE S.R.L. (CF: 05594340639)
SEVITALIA SICUREZZA SRL (CF: 09429841001)
</t>
  </si>
  <si>
    <t>Servizio di reception - Lotto 2 (Trento, Veneto, Friuli Venezia Giulia)</t>
  </si>
  <si>
    <t xml:space="preserve">BATTISTOLLI SERVIZI INTEGRATI S.R.L. (CF: 03897120246)
GRUPPO SERVIZI ASSOCIATI S.P.A. (CF: 01484180391)
S.G.M. SRL SERVIZI GENERALI MANUTENZIONI (CF: 07921450636)
SCALA ENTERPRISE S.R.L. (CF: 05594340639)
VEDETTA 2 MONDIALPOL SPA (CF: 00780120135)
</t>
  </si>
  <si>
    <t>BATTISTOLLI SERVIZI INTEGRATI S.R.L. (CF: 03897120246)</t>
  </si>
  <si>
    <t>Servizio di reception - Lotto 3 (Emilia Romagna)</t>
  </si>
  <si>
    <t xml:space="preserve">CEMIR SECURITY SRL (CF: 13423191009)
IL GLOBO VIGILANZA S.R.L. (CF: 01065300475)
JOB SOLUTION SOC. COOP. (CF: 02085880561)
MEAP SRL (CF: 07633520726)
SEVITALIA SICUREZZA SRL (CF: 09429841001)
</t>
  </si>
  <si>
    <t>MEAP SRL (CF: 07633520726)</t>
  </si>
  <si>
    <t>Servizio di reception - Lotto 5 (Abruzzo)</t>
  </si>
  <si>
    <t xml:space="preserve">RAGGRUPPAMENTO:
- CSM GLOBAL SECURITY SERVICE SRL (CF: 12748521007) Ruolo: 02-MANDATARIA
- INTERNATIONAL SECURITY SERVICE VIGILANZA SPA (CF: 10169951000) Ruolo: 01-MANDANTE
IL GLOBO VIGILANZA S.R.L. (CF: 01065300475)
JOB SOLUTION SOC. COOP. (CF: 02085880561)
MEAP SRL (CF: 07633520726)
SEVITALIA SICUREZZA SRL (CF: 09429841001)
</t>
  </si>
  <si>
    <t xml:space="preserve">RAGGRUPPAMENTO:
- CSM GLOBAL SECURITY SERVICE SRL (CF: 12748521007) Ruolo: 02-MANDATARIA
- INTERNATIONAL SECURITY SERVICE VIGILANZA SPA (CF: 10169951000) Ruolo: 01-MANDANTE
</t>
  </si>
  <si>
    <t>Servizio di reception - Lotto 6 (Sardegna)</t>
  </si>
  <si>
    <t xml:space="preserve">FANTASTIC SECURITY GROUP SRL (CF: 04810341216)
IST. DI VIGILANZA VIGILPOL SOC. COOP. ARL (CF: 01233010907)
ISTITUTO DI VIGILANZA LA SICUREZZA NOTTURNA (CF: 01267760922)
S.G.M. SRL SERVIZI GENERALI MANUTENZIONI (CF: 07921450636)
VEDETTA 2 MONDIALPOL SPA (CF: 00780120135)
</t>
  </si>
  <si>
    <t>FANTASTIC SECURITY GROUP SRL (CF: 04810341216)</t>
  </si>
  <si>
    <t>Servizio di reception - Lotto 8 (Puglia)</t>
  </si>
  <si>
    <t xml:space="preserve">RAGGRUPPAMENTO:
- DIEM SRL (CF: 13055211000) Ruolo: 02-MANDATARIA
- TDS GROUP SOC. COOP. (CF: 05636330721) Ruolo: 01-MANDANTE
FANTASTIC SECURITY GROUP SRL (CF: 04810341216)
GRUPPO SERVIZI ASSOCIATI S.P.A. (CF: 01484180391)
MEAP SRL (CF: 07633520726)
SCALA ENTERPRISE S.R.L. (CF: 05594340639)
</t>
  </si>
  <si>
    <t xml:space="preserve">RAGGRUPPAMENTO:
- DIEM SRL (CF: 13055211000) Ruolo: 02-MANDATARIA
- TDS GROUP SOC. COOP. (CF: 05636330721) Ruolo: 01-MANDANTE
</t>
  </si>
  <si>
    <t>Servizio di reception - Lotto 9 (Calabria)</t>
  </si>
  <si>
    <t xml:space="preserve">FANTASTIC SECURITY GROUP SRL (CF: 04810341216)
LEADER SERVICE SOCIETÃ  COOPERATIVA (CF: 05400500723)
MEAP SRL (CF: 07633520726)
S.G.M. SRL SERVIZI GENERALI MANUTENZIONI (CF: 07921450636)
SCALA ENTERPRISE S.R.L. (CF: 05594340639)
</t>
  </si>
  <si>
    <t>Servizio di reception - Lotto 7 (Lazio, DC) - Atto aggiuntivo</t>
  </si>
  <si>
    <t>36-AFFIDAMENTO DIRETTO PER LAVORI, SERVIZI O FORNITURE SUPPLEMENTARI</t>
  </si>
  <si>
    <t>Acquisto ed installazione licenze software 770 e manutenzione</t>
  </si>
  <si>
    <t xml:space="preserve">ADP SOFTWARE SOLUTIONS ITALIA  SRL (CF: 06249840155)
</t>
  </si>
  <si>
    <t>ADP SOFTWARE SOLUTIONS ITALIA  SRL (CF: 06249840155)</t>
  </si>
  <si>
    <t>Servizio di bonifica da amianto da eseguirsi presso lâ€™immobile sito in Largo Leopardi nÂ°5 Roma</t>
  </si>
  <si>
    <t xml:space="preserve">EDIL LAURENTINA SRL (CF: 12005241000)
</t>
  </si>
  <si>
    <t>EDIL LAURENTINA SRL (CF: 12005241000)</t>
  </si>
  <si>
    <t xml:space="preserve">ARUBA SPA (CF: 04552920482)
</t>
  </si>
  <si>
    <t>Servizi di raccolta e recapito della corrispondenza di Agenzia delle Entrate, oltre che dei relativi servizi connessi - Lotto 1 CF/TS/TS-CNS - Contratto esecutivo</t>
  </si>
  <si>
    <t>Abbonamenti digitali a Il Sole 24 Ore</t>
  </si>
  <si>
    <t>Fornitura n. 200 folder francobolli ventennale agenzie fiscali</t>
  </si>
  <si>
    <t>Servizio di pest proofing per disinfestazione vespe e calabroni</t>
  </si>
  <si>
    <t xml:space="preserve">AD SERVICE 2009 S.R.L. (CF: 10514961001)
</t>
  </si>
  <si>
    <t>AD SERVICE 2009 S.R.L. (CF: 10514961001)</t>
  </si>
  <si>
    <t>Gasolio da riscaldamento 2021-2022 - Giorgione 159</t>
  </si>
  <si>
    <t>Telefonia mobile</t>
  </si>
  <si>
    <t>Servizi di pubblicazione legale degli estratti dei bandi di gara e degli avvisi dellâ€™Agenzia delle Entrate su n. 2 quotidiani cartacei a diffusione nazionale e su n. 2 quotidiani cartacei a diffusione locale</t>
  </si>
  <si>
    <t xml:space="preserve">INFO SRL (CF: 04656100726)
</t>
  </si>
  <si>
    <t>INFO SRL (CF: 04656100726)</t>
  </si>
  <si>
    <t>Facchinaggio interno ed esterno ADE/ADER Lotto 7 Direzioni Centrali e Lazio - IIÂ° Contratto esecutivo</t>
  </si>
  <si>
    <t>Gasolio da riscaldamento 2021-2022 - Largo Leopardi 5</t>
  </si>
  <si>
    <t xml:space="preserve">ITALIA OGGI EDITORI - ERINNE SRL (CF: 10277500152)
</t>
  </si>
  <si>
    <t>ITALIA OGGI EDITORI - ERINNE SRL (CF: 10277500152)</t>
  </si>
  <si>
    <t>Fornitura e posa in opera parete a vetro con porta a 2 ante e ulteriori due porte a vetro</t>
  </si>
  <si>
    <t xml:space="preserve">DIGITAL GROUP SRL (CF: 08337001005)
</t>
  </si>
  <si>
    <t>DIGITAL GROUP SRL (CF: 08337001005)</t>
  </si>
  <si>
    <t>Distacco temporaneo della fornitura MT presso compendio Via Licini</t>
  </si>
  <si>
    <t xml:space="preserve">ARETI SPA (CF: 05816611007)
</t>
  </si>
  <si>
    <t>ARETI SPA (CF: 05816611007)</t>
  </si>
  <si>
    <t>Fornitura lampade a piantana</t>
  </si>
  <si>
    <t xml:space="preserve">TECNO OFFICE GLOBAL SRL (CF: 01641800550)
</t>
  </si>
  <si>
    <t>TECNO OFFICE GLOBAL SRL (CF: 01641800550)</t>
  </si>
  <si>
    <t>Fornitura libri</t>
  </si>
  <si>
    <t xml:space="preserve">MEDIAEDIT SAS DI DARIO MUSCATELLO (CF: 13633071009)
</t>
  </si>
  <si>
    <t>MEDIAEDIT SAS DI DARIO MUSCATELLO (CF: 13633071009)</t>
  </si>
  <si>
    <t>Codice inserzione 2100043707 - Aggiudicazione reception Lotto 4</t>
  </si>
  <si>
    <t>Codice inserzione 2100044770 - Aggiudicazione assicurazioni Lotto 1-2-3-4</t>
  </si>
  <si>
    <t>Codice inserzione 2100045436 - Bando assicurazioni</t>
  </si>
  <si>
    <t>Servizio biennale di pulizia, spurgo, smaltimento e video ispezione dei sistemi fognari degli immobili sedi centrali dellâ€™Agenzia delle Entrate</t>
  </si>
  <si>
    <t xml:space="preserve">ECOLSERVIZI APRILIA SRL (CF: 01540220595)
</t>
  </si>
  <si>
    <t>ECOLSERVIZI APRILIA SRL (CF: 01540220595)</t>
  </si>
  <si>
    <t>Lavori di adeguamento al D.lgs. 81-08 presso la sede di Largo Leopardi</t>
  </si>
  <si>
    <t xml:space="preserve">ANTONELLI SRL (CF: 13311251006)
</t>
  </si>
  <si>
    <t>ANTONELLI SRL (CF: 13311251006)</t>
  </si>
  <si>
    <t>Fornitura di arredi a basso impatto ambientale da assegnare alle strutture delle Direzioni Centrali dellâ€™Agenzia delle Entrate - Lotto 1 Fornitura di mobili per ufficio e accessori</t>
  </si>
  <si>
    <t xml:space="preserve">4 MURA ARREDAMENTI SAS DI COLANTUONI FELICE &amp; C. (CF: 00828110676)
BIERRE SRL (CF: 01251970586)
M-GROUP S.R.L (CF: 02084900691)
PICCHI SRL (CF: 08206970587)
RE CONTRACT (CF: 12283901002)
</t>
  </si>
  <si>
    <t>BIERRE SRL (CF: 01251970586)</t>
  </si>
  <si>
    <t>Fornitura di arredi a basso impatto ambientale da assegnare alle strutture delle Direzioni Centrali dellâ€™Agenzia delle Entrate - Lotto 1 Fornitura di sedute per ufficio</t>
  </si>
  <si>
    <t xml:space="preserve">HABITAT ITALIANA SRL (CF: 02862070170)
ICR - SOCIETA' PER AZIONI (CF: 05466391009)
MAXINTERNI (CF: 02334280241)
MOSCHELLA SEDUTE SRL (CF: 01991400670)
QUADRICA S.R.L. UNIPERSONALE (CF: 02638290920)
</t>
  </si>
  <si>
    <t>MOSCHELLA SEDUTE SRL (CF: 01991400670)</t>
  </si>
  <si>
    <t>Servizio di copertura assicurativa nel settore Errors &amp; Omissions per le esigenze dellâ€™Agenzia delle Entrate e dellâ€™Agenzia delle Entrate-Riscossione â€“ lotto 1 (1Â° layer Agenzia delle Entrate)</t>
  </si>
  <si>
    <t>Servizio di copertura assicurativa nel settore Errors &amp; Omissions per le esigenze dellâ€™Agenzia delle Entrate e dellâ€™Agenzia delle Entrate-Riscossione â€“ lotto 2 (2Â° layer Agenzia delle Entrate)</t>
  </si>
  <si>
    <t xml:space="preserve">CHUBB EUROPEAN GROUP SE - RAPPRESENTANZA GENERALE PER L'ITALIA (CF: 04124720964)
</t>
  </si>
  <si>
    <t>CHUBB EUROPEAN GROUP SE - RAPPRESENTANZA GENERALE PER L'ITALIA (CF: 04124720964)</t>
  </si>
  <si>
    <t>Partecipazione di n. 4 funzionari al corso â€œNuova Passweb - La funzione di "Caricamento Massivoâ€</t>
  </si>
  <si>
    <t xml:space="preserve">FORMEL SRL (CF: 01784630814)
</t>
  </si>
  <si>
    <t>FORMEL SRL (CF: 01784630814)</t>
  </si>
  <si>
    <t>Acquisto di n. 9000 unitÃ  di mascherine FFP2</t>
  </si>
  <si>
    <t xml:space="preserve">BLUEBAG ITALIA SRL (CF: 08050520967)
ICA SYSTEM SRL (CF: 01973780263)
PASSION SRL (CF: 09606060961)
POLONORD ADESTE (CF: 02052230394)
R-SHOP DI MARCHETTI FRANCESCO (CF: MRCFNC69E20E329H)
</t>
  </si>
  <si>
    <t>PASSION SRL (CF: 09606060961)</t>
  </si>
  <si>
    <t>Abbonamenti a Corriere Digita+</t>
  </si>
  <si>
    <t>Fornitura di toner per esigenze degli Uffici Centrali</t>
  </si>
  <si>
    <t xml:space="preserve">TECHNOINF S.R.L. (CF: 10239630964)
</t>
  </si>
  <si>
    <t>TECHNOINF S.R.L. (CF: 10239630964)</t>
  </si>
  <si>
    <t>Abbonamenti a Bollettino Tributario d'informazione</t>
  </si>
  <si>
    <t>Abbonamenti a Convenzione Club ad Hoc</t>
  </si>
  <si>
    <t xml:space="preserve">SCENARI IMMOBILIARI SRL (CF: 06346211003)
</t>
  </si>
  <si>
    <t>SCENARI IMMOBILIARI SRL (CF: 06346211003)</t>
  </si>
  <si>
    <t>Adesione per lâ€™anno 2022 al Programma Corporate Membership</t>
  </si>
  <si>
    <t>Assegnazione codifica DOI - Anno 2022</t>
  </si>
  <si>
    <t>Forniture necessarie allâ€™adeguamento sale VDC di via Giorgione per web conferencing</t>
  </si>
  <si>
    <t xml:space="preserve">DELTA TECNO STUDIO SRL (CF: 10899161003)
</t>
  </si>
  <si>
    <t>Fornitura n. 4 Misuratori CO2 mod. ROTRONIC CP11</t>
  </si>
  <si>
    <t xml:space="preserve">ULTRAPROMEDIA S.R.L. (CF: 10324241008)
</t>
  </si>
  <si>
    <t>ULTRAPROMEDIA S.R.L. (CF: 10324241008)</t>
  </si>
  <si>
    <t>Codice inserzione 2100048143 - Aggiudicazione gara carta</t>
  </si>
  <si>
    <t>Codice inserzione 2100050112 - Aggiudicazione gara manutenzione impianti</t>
  </si>
  <si>
    <t>Abiti per autisti e commessi</t>
  </si>
  <si>
    <t xml:space="preserve">ARM SRL (CF: 03351280544)
BRUMAR SRL (CF: 03596871008)
MANIFATTURE DI PORTO SRL (CF: 08444131000)
MODIT GROUP SRL (CF: 07622940018)
TECH DIVISE SRL (CF: 00492110481)
</t>
  </si>
  <si>
    <t>ARM SRL (CF: 03351280544)</t>
  </si>
  <si>
    <t>Patrocinio legale giudizio di appello, avverso lâ€™ordinanza del Tribunale di Bobigny</t>
  </si>
  <si>
    <t>Fornitura dei notiziari di Agenzia stampa RADIOCOR a favore dellâ€™Agenzia delle Entrate e di Agenzia delle entrate Riscossione per l'anno 2022</t>
  </si>
  <si>
    <t>Noleggio 2 multifunzioni produttivitÃ  A 60 mesi giorgione 159</t>
  </si>
  <si>
    <t xml:space="preserve">CANON ITALIA SPA (CF: 00865220156)
</t>
  </si>
  <si>
    <t>CANON ITALIA SPA (CF: 00865220156)</t>
  </si>
  <si>
    <t>Servizi di manutenzione ordinaria per le opere da fabbro, lattoniere vetraio e falegname, per gli uffici centrali di Roma dellâ€™Agenzia delle entrate</t>
  </si>
  <si>
    <t>Iscrizione per lâ€™annualitÃ  2021-2022 di n. 4 funzionari dellâ€™Agenzia delle entrate al modulo Cum-petere - Modelli e metodologie per lo sviluppo delle competenze nella PA del Corso PA-POP della SDA Bocconi</t>
  </si>
  <si>
    <t>Servizio di web hosting e housing del sito internet dell'Agenzia</t>
  </si>
  <si>
    <t>Sistemazione varchi, porte scorrevoli, varchi a bandiera ed installazione di n. 2 porte di acciaio in doppia lamiera</t>
  </si>
  <si>
    <t>Sostituzione parziale di una zona di controsoffitto e altre opere minori al piano 5Â° della sede di via Giorgione 159 in Roma</t>
  </si>
  <si>
    <t xml:space="preserve">REM. COSTRUZIONI S.R.L. (CF: 16048331009)
</t>
  </si>
  <si>
    <t>REM. COSTRUZIONI S.R.L. (CF: 16048331009)</t>
  </si>
  <si>
    <t>Fornitura di cancelleria</t>
  </si>
  <si>
    <t>Erogazione del corso â€œFocus web contratti pubbliciâ€</t>
  </si>
  <si>
    <t xml:space="preserve">ACCADEMIA JURIS DIRITTO PER CONCORSI S.R.L. (CF: 06494910729)
</t>
  </si>
  <si>
    <t>ACCADEMIA JURIS DIRITTO PER CONCORSI S.R.L. (CF: 06494910729)</t>
  </si>
  <si>
    <t>Fornitura di gadget</t>
  </si>
  <si>
    <t>SERVIZI ASSICURATIVI RCT/RCO ADE</t>
  </si>
  <si>
    <t>SERVIZI ASSICURATIVI RCT RCO ADER</t>
  </si>
  <si>
    <t>SERVIZI ASSICURATIVI ALL RISKS PROPERTY ADE</t>
  </si>
  <si>
    <t>SERVIZI ASSICURATIVI ALL RISKS PROPERTY ADER</t>
  </si>
  <si>
    <t>SERVIZI ASSICURATIVI ALL RISKS ELETTRONICA ADE</t>
  </si>
  <si>
    <t>SERVIZI ASSICURATIVI ALL RISKS ELETTRONICA ADER</t>
  </si>
  <si>
    <t>SERVIZI ASSICURATIVI CYBER RISK ADE</t>
  </si>
  <si>
    <t>SERVIZI ASSICURATIVI CYBER RISK ADER</t>
  </si>
  <si>
    <t>SERVIZI ASSICURATIVI INFORTUNI DIPENDENTI IN MISSIONE ADE</t>
  </si>
  <si>
    <t>SERVIZI ASSICURATIVI KASKO ADE</t>
  </si>
  <si>
    <t>SERVIZI ASSICURATIVI BBB ADER</t>
  </si>
  <si>
    <t>SERVIZI ASSICURATIVI D&amp;D I LAYER ADER</t>
  </si>
  <si>
    <t>SERVIZI ASSICURATIVI S&amp;D II LAYER ADER</t>
  </si>
  <si>
    <t>SERVIZI ASSICURATIVI D&amp;D III LAYER ADER</t>
  </si>
  <si>
    <t>SERVIZI ASSICURATIVI TUTELA LEGALE ADER</t>
  </si>
  <si>
    <t>SERVIZI ASSICURATIVI INFORTUNI PM E ORGANI DELL'ENTE ADER</t>
  </si>
  <si>
    <t>SERVIZI ASSICURATIVI KASKO ADER</t>
  </si>
  <si>
    <t>fornitura di carta in risme - Lotto 1</t>
  </si>
  <si>
    <t>fornitura di carta in risme - Lotto 2</t>
  </si>
  <si>
    <t>fornitura di carta in risme - Lotto 3</t>
  </si>
  <si>
    <t>fornitura di carta in risme - Lotto 4</t>
  </si>
  <si>
    <t>fornitura di carta in risme - Lotto 5</t>
  </si>
  <si>
    <t>fornitura di carta in risme - Lotto 6</t>
  </si>
  <si>
    <t>fornitura di carta in risme - Lotto 7</t>
  </si>
  <si>
    <t>fornitura di carta in risme - Lotto 8</t>
  </si>
  <si>
    <t>fornitura di carta in risme - Lotto 9</t>
  </si>
  <si>
    <t>fornitura di carta in risme - Lotto 10</t>
  </si>
  <si>
    <t>fornitura di carta in risme - Lotto 11</t>
  </si>
  <si>
    <t>fornitura di carta in risme - Lotto 12</t>
  </si>
  <si>
    <t>fornitura di carta in risme - Lotto 13</t>
  </si>
  <si>
    <t>fornitura di carta in risme - Lotto 14</t>
  </si>
  <si>
    <t>Contratto normativo Vigilanza privata - Lotto 11 (Campania) - Servizi aggiuntivi</t>
  </si>
  <si>
    <t xml:space="preserve">COSMOPOL SPA (CF: 01764680649)
</t>
  </si>
  <si>
    <t>COSMOPOL SPA (CF: 01764680649)</t>
  </si>
  <si>
    <t>Toner - Lotto 1</t>
  </si>
  <si>
    <t>Toner - Lotto 2</t>
  </si>
  <si>
    <t>Toner - Lotto 3</t>
  </si>
  <si>
    <t>Toner - Lotto 5</t>
  </si>
  <si>
    <t>Toner - Lotto 4</t>
  </si>
  <si>
    <t>Toner - Lotto 6</t>
  </si>
  <si>
    <t>Toner - Lotto 7</t>
  </si>
  <si>
    <t>Toner - Lotto 8</t>
  </si>
  <si>
    <t>Accordo quadro per la fornitura di mascherine chirurgiche monouso, guanti monouso e gel disinfettante mani e relativi dispenser erogatori LOTTO 3 (gel disinfettante e dispenser) opzione rinnovo 6 mesi</t>
  </si>
  <si>
    <t>39-AFFIDAMENTO DIRETTO PER MODIFICHE CONTRATTUALI O VARIANTI PER LE QUALI Ãˆ NECESSARIA UNA NUOVA PROCEDURA DI AFFIDAMENTO</t>
  </si>
  <si>
    <t>Fornitura di mascherine chirurgiche</t>
  </si>
  <si>
    <t>fornitura di mascherine chirurgiche</t>
  </si>
  <si>
    <t xml:space="preserve">fornitura di mascherine chirurgiche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</si>
</sst>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1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"7653596B36"</f>
        <v>7653596B36</v>
      </c>
      <c r="B3" t="str">
        <f t="shared" ref="B3:B66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2827868</v>
      </c>
      <c r="I3" s="2">
        <v>43433</v>
      </c>
      <c r="J3" s="2">
        <v>45262</v>
      </c>
      <c r="K3">
        <v>1368820.21</v>
      </c>
    </row>
    <row r="4" spans="1:11" x14ac:dyDescent="0.25">
      <c r="A4" t="str">
        <f>"7838790624"</f>
        <v>7838790624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0</v>
      </c>
      <c r="I4" s="2">
        <v>43543</v>
      </c>
      <c r="J4" s="2">
        <v>44485</v>
      </c>
      <c r="K4">
        <v>118924.79</v>
      </c>
    </row>
    <row r="5" spans="1:11" x14ac:dyDescent="0.25">
      <c r="A5" t="str">
        <f>"6229986B13"</f>
        <v>6229986B13</v>
      </c>
      <c r="B5" t="str">
        <f t="shared" si="0"/>
        <v>06363391001</v>
      </c>
      <c r="C5" t="s">
        <v>16</v>
      </c>
      <c r="D5" t="s">
        <v>24</v>
      </c>
      <c r="E5" t="s">
        <v>18</v>
      </c>
      <c r="F5" s="1" t="s">
        <v>22</v>
      </c>
      <c r="G5" t="s">
        <v>23</v>
      </c>
      <c r="H5">
        <v>650000</v>
      </c>
      <c r="I5" s="2">
        <v>42116</v>
      </c>
      <c r="J5" s="2">
        <v>43616</v>
      </c>
      <c r="K5">
        <v>355151.24</v>
      </c>
    </row>
    <row r="6" spans="1:11" x14ac:dyDescent="0.25">
      <c r="A6" t="str">
        <f>"ZEE318B4F0"</f>
        <v>ZEE318B4F0</v>
      </c>
      <c r="B6" t="str">
        <f t="shared" si="0"/>
        <v>06363391001</v>
      </c>
      <c r="C6" t="s">
        <v>16</v>
      </c>
      <c r="D6" t="s">
        <v>25</v>
      </c>
      <c r="E6" t="s">
        <v>26</v>
      </c>
      <c r="F6" s="1" t="s">
        <v>27</v>
      </c>
      <c r="G6" t="s">
        <v>28</v>
      </c>
      <c r="H6">
        <v>280</v>
      </c>
      <c r="I6" s="2">
        <v>44314</v>
      </c>
      <c r="J6" s="2">
        <v>44410</v>
      </c>
      <c r="K6">
        <v>280</v>
      </c>
    </row>
    <row r="7" spans="1:11" x14ac:dyDescent="0.25">
      <c r="A7" t="str">
        <f>"559605068B"</f>
        <v>559605068B</v>
      </c>
      <c r="B7" t="str">
        <f t="shared" si="0"/>
        <v>06363391001</v>
      </c>
      <c r="C7" t="s">
        <v>16</v>
      </c>
      <c r="D7" t="s">
        <v>29</v>
      </c>
      <c r="E7" t="s">
        <v>18</v>
      </c>
      <c r="F7" s="1" t="s">
        <v>30</v>
      </c>
      <c r="G7" t="s">
        <v>31</v>
      </c>
      <c r="H7">
        <v>0</v>
      </c>
      <c r="I7" s="2">
        <v>41730</v>
      </c>
      <c r="J7" s="2">
        <v>42094</v>
      </c>
      <c r="K7">
        <v>63963.49</v>
      </c>
    </row>
    <row r="8" spans="1:11" x14ac:dyDescent="0.25">
      <c r="A8" t="str">
        <f>"X8F0DAB6F4"</f>
        <v>X8F0DAB6F4</v>
      </c>
      <c r="B8" t="str">
        <f t="shared" si="0"/>
        <v>06363391001</v>
      </c>
      <c r="C8" t="s">
        <v>16</v>
      </c>
      <c r="D8" t="s">
        <v>32</v>
      </c>
      <c r="E8" t="s">
        <v>26</v>
      </c>
      <c r="F8" s="1" t="s">
        <v>33</v>
      </c>
      <c r="G8" t="s">
        <v>34</v>
      </c>
      <c r="H8">
        <v>0</v>
      </c>
      <c r="I8" s="2">
        <v>41640</v>
      </c>
      <c r="J8" s="2">
        <v>42004</v>
      </c>
      <c r="K8">
        <v>13598.25</v>
      </c>
    </row>
    <row r="9" spans="1:11" x14ac:dyDescent="0.25">
      <c r="A9" t="str">
        <f>"XE715D9D9A"</f>
        <v>XE715D9D9A</v>
      </c>
      <c r="B9" t="str">
        <f t="shared" si="0"/>
        <v>06363391001</v>
      </c>
      <c r="C9" t="s">
        <v>16</v>
      </c>
      <c r="D9" t="s">
        <v>35</v>
      </c>
      <c r="E9" t="s">
        <v>26</v>
      </c>
      <c r="F9" s="1" t="s">
        <v>36</v>
      </c>
      <c r="G9" t="s">
        <v>37</v>
      </c>
      <c r="H9">
        <v>2043.6</v>
      </c>
      <c r="I9" s="2">
        <v>42268</v>
      </c>
      <c r="J9" s="2">
        <v>42298</v>
      </c>
      <c r="K9">
        <v>2043.6</v>
      </c>
    </row>
    <row r="10" spans="1:11" x14ac:dyDescent="0.25">
      <c r="A10" t="str">
        <f>"6558342307"</f>
        <v>6558342307</v>
      </c>
      <c r="B10" t="str">
        <f t="shared" si="0"/>
        <v>06363391001</v>
      </c>
      <c r="C10" t="s">
        <v>16</v>
      </c>
      <c r="D10" t="s">
        <v>38</v>
      </c>
      <c r="E10" t="s">
        <v>18</v>
      </c>
      <c r="F10" s="1" t="s">
        <v>39</v>
      </c>
      <c r="G10" t="s">
        <v>40</v>
      </c>
      <c r="H10">
        <v>16854.240000000002</v>
      </c>
      <c r="I10" s="2">
        <v>42488</v>
      </c>
      <c r="J10" s="2">
        <v>43949</v>
      </c>
      <c r="K10">
        <v>15847.25</v>
      </c>
    </row>
    <row r="11" spans="1:11" x14ac:dyDescent="0.25">
      <c r="A11" t="str">
        <f>"66885416A3"</f>
        <v>66885416A3</v>
      </c>
      <c r="B11" t="str">
        <f t="shared" si="0"/>
        <v>06363391001</v>
      </c>
      <c r="C11" t="s">
        <v>16</v>
      </c>
      <c r="D11" t="s">
        <v>41</v>
      </c>
      <c r="E11" t="s">
        <v>18</v>
      </c>
      <c r="F11" s="1" t="s">
        <v>42</v>
      </c>
      <c r="G11" t="s">
        <v>43</v>
      </c>
      <c r="H11">
        <v>0</v>
      </c>
      <c r="I11" s="2">
        <v>42583</v>
      </c>
      <c r="J11" s="2">
        <v>42947</v>
      </c>
      <c r="K11">
        <v>1012863.43</v>
      </c>
    </row>
    <row r="12" spans="1:11" x14ac:dyDescent="0.25">
      <c r="A12" t="str">
        <f>"6561065A1C"</f>
        <v>6561065A1C</v>
      </c>
      <c r="B12" t="str">
        <f t="shared" si="0"/>
        <v>06363391001</v>
      </c>
      <c r="C12" t="s">
        <v>16</v>
      </c>
      <c r="D12" t="s">
        <v>44</v>
      </c>
      <c r="E12" t="s">
        <v>18</v>
      </c>
      <c r="F12" s="1" t="s">
        <v>39</v>
      </c>
      <c r="G12" t="s">
        <v>40</v>
      </c>
      <c r="H12">
        <v>16433.28</v>
      </c>
      <c r="I12" s="2">
        <v>42507</v>
      </c>
      <c r="J12" s="2">
        <v>43968</v>
      </c>
      <c r="K12">
        <v>17228.28</v>
      </c>
    </row>
    <row r="13" spans="1:11" x14ac:dyDescent="0.25">
      <c r="A13" t="str">
        <f>"6561067BC2"</f>
        <v>6561067BC2</v>
      </c>
      <c r="B13" t="str">
        <f t="shared" si="0"/>
        <v>06363391001</v>
      </c>
      <c r="C13" t="s">
        <v>16</v>
      </c>
      <c r="D13" t="s">
        <v>44</v>
      </c>
      <c r="E13" t="s">
        <v>18</v>
      </c>
      <c r="F13" s="1" t="s">
        <v>39</v>
      </c>
      <c r="G13" t="s">
        <v>40</v>
      </c>
      <c r="H13">
        <v>16433.28</v>
      </c>
      <c r="I13" s="2">
        <v>42555</v>
      </c>
      <c r="J13" s="2">
        <v>44016</v>
      </c>
      <c r="K13">
        <v>16347.37</v>
      </c>
    </row>
    <row r="14" spans="1:11" x14ac:dyDescent="0.25">
      <c r="A14" t="str">
        <f>"6798852E25"</f>
        <v>6798852E25</v>
      </c>
      <c r="B14" t="str">
        <f t="shared" si="0"/>
        <v>06363391001</v>
      </c>
      <c r="C14" t="s">
        <v>16</v>
      </c>
      <c r="D14" t="s">
        <v>45</v>
      </c>
      <c r="E14" t="s">
        <v>18</v>
      </c>
      <c r="F14" s="1" t="s">
        <v>42</v>
      </c>
      <c r="G14" t="s">
        <v>43</v>
      </c>
      <c r="H14">
        <v>0</v>
      </c>
      <c r="I14" s="2">
        <v>42705</v>
      </c>
      <c r="J14" s="2">
        <v>43069</v>
      </c>
      <c r="K14">
        <v>94837.06</v>
      </c>
    </row>
    <row r="15" spans="1:11" x14ac:dyDescent="0.25">
      <c r="A15" t="str">
        <f>"68165635BC"</f>
        <v>68165635BC</v>
      </c>
      <c r="B15" t="str">
        <f t="shared" si="0"/>
        <v>06363391001</v>
      </c>
      <c r="C15" t="s">
        <v>16</v>
      </c>
      <c r="D15" t="s">
        <v>46</v>
      </c>
      <c r="E15" t="s">
        <v>18</v>
      </c>
      <c r="F15" s="1" t="s">
        <v>47</v>
      </c>
      <c r="G15" t="s">
        <v>48</v>
      </c>
      <c r="H15">
        <v>2656.32</v>
      </c>
      <c r="I15" s="2">
        <v>42692</v>
      </c>
      <c r="J15" s="2">
        <v>44152</v>
      </c>
      <c r="K15">
        <v>3165.79</v>
      </c>
    </row>
    <row r="16" spans="1:11" x14ac:dyDescent="0.25">
      <c r="A16" t="str">
        <f>"6848194C74"</f>
        <v>6848194C74</v>
      </c>
      <c r="B16" t="str">
        <f t="shared" si="0"/>
        <v>06363391001</v>
      </c>
      <c r="C16" t="s">
        <v>16</v>
      </c>
      <c r="D16" t="s">
        <v>46</v>
      </c>
      <c r="E16" t="s">
        <v>18</v>
      </c>
      <c r="F16" s="1" t="s">
        <v>47</v>
      </c>
      <c r="G16" t="s">
        <v>48</v>
      </c>
      <c r="H16">
        <v>2656.32</v>
      </c>
      <c r="I16" s="2">
        <v>42717</v>
      </c>
      <c r="J16" s="2">
        <v>44177</v>
      </c>
      <c r="K16">
        <v>3375.26</v>
      </c>
    </row>
    <row r="17" spans="1:11" x14ac:dyDescent="0.25">
      <c r="A17" t="str">
        <f>"688533455C"</f>
        <v>688533455C</v>
      </c>
      <c r="B17" t="str">
        <f t="shared" si="0"/>
        <v>06363391001</v>
      </c>
      <c r="C17" t="s">
        <v>16</v>
      </c>
      <c r="D17" t="s">
        <v>49</v>
      </c>
      <c r="E17" t="s">
        <v>18</v>
      </c>
      <c r="F17" s="1" t="s">
        <v>47</v>
      </c>
      <c r="G17" t="s">
        <v>48</v>
      </c>
      <c r="H17">
        <v>2656.32</v>
      </c>
      <c r="I17" s="2">
        <v>42789</v>
      </c>
      <c r="J17" s="2">
        <v>44249</v>
      </c>
      <c r="K17">
        <v>2899.06</v>
      </c>
    </row>
    <row r="18" spans="1:11" x14ac:dyDescent="0.25">
      <c r="A18" t="str">
        <f>"70910485EC"</f>
        <v>70910485EC</v>
      </c>
      <c r="B18" t="str">
        <f t="shared" si="0"/>
        <v>06363391001</v>
      </c>
      <c r="C18" t="s">
        <v>16</v>
      </c>
      <c r="D18" t="s">
        <v>50</v>
      </c>
      <c r="E18" t="s">
        <v>18</v>
      </c>
      <c r="F18" s="1" t="s">
        <v>19</v>
      </c>
      <c r="G18" t="s">
        <v>20</v>
      </c>
      <c r="H18">
        <v>42474606</v>
      </c>
      <c r="I18" s="2">
        <v>42880</v>
      </c>
      <c r="J18" s="2">
        <v>45070</v>
      </c>
      <c r="K18">
        <v>20908395.809999999</v>
      </c>
    </row>
    <row r="19" spans="1:11" x14ac:dyDescent="0.25">
      <c r="A19" t="str">
        <f>"69412493E1"</f>
        <v>69412493E1</v>
      </c>
      <c r="B19" t="str">
        <f t="shared" si="0"/>
        <v>06363391001</v>
      </c>
      <c r="C19" t="s">
        <v>16</v>
      </c>
      <c r="D19" t="s">
        <v>51</v>
      </c>
      <c r="E19" t="s">
        <v>18</v>
      </c>
      <c r="F19" s="1" t="s">
        <v>52</v>
      </c>
      <c r="G19" t="s">
        <v>53</v>
      </c>
      <c r="H19">
        <v>69926.720000000001</v>
      </c>
      <c r="I19" s="2">
        <v>42849</v>
      </c>
      <c r="J19" s="2">
        <v>44313</v>
      </c>
      <c r="K19">
        <v>73998.929999999993</v>
      </c>
    </row>
    <row r="20" spans="1:11" x14ac:dyDescent="0.25">
      <c r="A20" t="str">
        <f>"6941206066"</f>
        <v>6941206066</v>
      </c>
      <c r="B20" t="str">
        <f t="shared" si="0"/>
        <v>06363391001</v>
      </c>
      <c r="C20" t="s">
        <v>16</v>
      </c>
      <c r="D20" t="s">
        <v>54</v>
      </c>
      <c r="E20" t="s">
        <v>18</v>
      </c>
      <c r="F20" s="1" t="s">
        <v>47</v>
      </c>
      <c r="G20" t="s">
        <v>48</v>
      </c>
      <c r="H20">
        <v>3226.56</v>
      </c>
      <c r="I20" s="2">
        <v>42881</v>
      </c>
      <c r="J20" s="2">
        <v>44342</v>
      </c>
      <c r="K20">
        <v>4901.5</v>
      </c>
    </row>
    <row r="21" spans="1:11" x14ac:dyDescent="0.25">
      <c r="A21" t="str">
        <f>"7108862281"</f>
        <v>7108862281</v>
      </c>
      <c r="B21" t="str">
        <f t="shared" si="0"/>
        <v>06363391001</v>
      </c>
      <c r="C21" t="s">
        <v>16</v>
      </c>
      <c r="D21" t="s">
        <v>55</v>
      </c>
      <c r="E21" t="s">
        <v>56</v>
      </c>
      <c r="F21" s="1" t="s">
        <v>57</v>
      </c>
      <c r="G21" t="s">
        <v>58</v>
      </c>
      <c r="H21">
        <v>140000</v>
      </c>
      <c r="I21" s="2">
        <v>42956</v>
      </c>
      <c r="J21" s="2">
        <v>44052</v>
      </c>
      <c r="K21">
        <v>89687.01</v>
      </c>
    </row>
    <row r="22" spans="1:11" x14ac:dyDescent="0.25">
      <c r="A22" t="str">
        <f>"6559421D6F"</f>
        <v>6559421D6F</v>
      </c>
      <c r="B22" t="str">
        <f t="shared" si="0"/>
        <v>06363391001</v>
      </c>
      <c r="C22" t="s">
        <v>16</v>
      </c>
      <c r="D22" t="s">
        <v>44</v>
      </c>
      <c r="E22" t="s">
        <v>18</v>
      </c>
      <c r="F22" s="1" t="s">
        <v>39</v>
      </c>
      <c r="G22" t="s">
        <v>40</v>
      </c>
      <c r="H22">
        <v>16433.28</v>
      </c>
      <c r="I22" s="2">
        <v>42565</v>
      </c>
      <c r="J22" s="2">
        <v>44026</v>
      </c>
      <c r="K22">
        <v>17637.169999999998</v>
      </c>
    </row>
    <row r="23" spans="1:11" x14ac:dyDescent="0.25">
      <c r="A23" t="str">
        <f>"6559419BC9"</f>
        <v>6559419BC9</v>
      </c>
      <c r="B23" t="str">
        <f t="shared" si="0"/>
        <v>06363391001</v>
      </c>
      <c r="C23" t="s">
        <v>16</v>
      </c>
      <c r="D23" t="s">
        <v>44</v>
      </c>
      <c r="E23" t="s">
        <v>18</v>
      </c>
      <c r="F23" s="1" t="s">
        <v>39</v>
      </c>
      <c r="G23" t="s">
        <v>40</v>
      </c>
      <c r="H23">
        <v>16433.28</v>
      </c>
      <c r="I23" s="2">
        <v>42565</v>
      </c>
      <c r="J23" s="2">
        <v>44026</v>
      </c>
      <c r="K23">
        <v>11069.53</v>
      </c>
    </row>
    <row r="24" spans="1:11" x14ac:dyDescent="0.25">
      <c r="A24" t="str">
        <f>"7361953BCB"</f>
        <v>7361953BCB</v>
      </c>
      <c r="B24" t="str">
        <f t="shared" si="0"/>
        <v>06363391001</v>
      </c>
      <c r="C24" t="s">
        <v>16</v>
      </c>
      <c r="D24" t="s">
        <v>59</v>
      </c>
      <c r="E24" t="s">
        <v>18</v>
      </c>
      <c r="F24" s="1" t="s">
        <v>60</v>
      </c>
      <c r="G24" t="s">
        <v>61</v>
      </c>
      <c r="H24">
        <v>5362579.95</v>
      </c>
      <c r="I24" s="2">
        <v>43124</v>
      </c>
      <c r="J24" s="2">
        <v>44220</v>
      </c>
      <c r="K24">
        <v>3266829.49</v>
      </c>
    </row>
    <row r="25" spans="1:11" x14ac:dyDescent="0.25">
      <c r="A25" t="str">
        <f>"7165672399"</f>
        <v>7165672399</v>
      </c>
      <c r="B25" t="str">
        <f t="shared" si="0"/>
        <v>06363391001</v>
      </c>
      <c r="C25" t="s">
        <v>16</v>
      </c>
      <c r="D25" t="s">
        <v>62</v>
      </c>
      <c r="E25" t="s">
        <v>63</v>
      </c>
      <c r="F25" s="1" t="s">
        <v>64</v>
      </c>
      <c r="G25" t="s">
        <v>65</v>
      </c>
      <c r="H25">
        <v>1251520</v>
      </c>
      <c r="I25" s="2">
        <v>43159</v>
      </c>
      <c r="J25" s="2">
        <v>44620</v>
      </c>
      <c r="K25">
        <v>907539.54</v>
      </c>
    </row>
    <row r="26" spans="1:11" x14ac:dyDescent="0.25">
      <c r="A26" t="str">
        <f>"716567453F"</f>
        <v>716567453F</v>
      </c>
      <c r="B26" t="str">
        <f t="shared" si="0"/>
        <v>06363391001</v>
      </c>
      <c r="C26" t="s">
        <v>16</v>
      </c>
      <c r="D26" t="s">
        <v>66</v>
      </c>
      <c r="E26" t="s">
        <v>63</v>
      </c>
      <c r="F26" s="1" t="s">
        <v>67</v>
      </c>
      <c r="G26" t="s">
        <v>68</v>
      </c>
      <c r="H26">
        <v>592000</v>
      </c>
      <c r="I26" s="2">
        <v>43159</v>
      </c>
      <c r="J26" s="2">
        <v>44620</v>
      </c>
      <c r="K26">
        <v>592000</v>
      </c>
    </row>
    <row r="27" spans="1:11" x14ac:dyDescent="0.25">
      <c r="A27" t="str">
        <f>"71656766E5"</f>
        <v>71656766E5</v>
      </c>
      <c r="B27" t="str">
        <f t="shared" si="0"/>
        <v>06363391001</v>
      </c>
      <c r="C27" t="s">
        <v>16</v>
      </c>
      <c r="D27" t="s">
        <v>69</v>
      </c>
      <c r="E27" t="s">
        <v>63</v>
      </c>
      <c r="F27" s="1" t="s">
        <v>70</v>
      </c>
      <c r="G27" t="s">
        <v>68</v>
      </c>
      <c r="H27">
        <v>1611914.08</v>
      </c>
      <c r="I27" s="2">
        <v>43159</v>
      </c>
      <c r="J27" s="2">
        <v>44620</v>
      </c>
      <c r="K27">
        <v>1594485.93</v>
      </c>
    </row>
    <row r="28" spans="1:11" x14ac:dyDescent="0.25">
      <c r="A28" t="str">
        <f>"7304836D5A"</f>
        <v>7304836D5A</v>
      </c>
      <c r="B28" t="str">
        <f t="shared" si="0"/>
        <v>06363391001</v>
      </c>
      <c r="C28" t="s">
        <v>16</v>
      </c>
      <c r="D28" t="s">
        <v>71</v>
      </c>
      <c r="E28" t="s">
        <v>56</v>
      </c>
      <c r="F28" s="1" t="s">
        <v>72</v>
      </c>
      <c r="G28" t="s">
        <v>73</v>
      </c>
      <c r="H28">
        <v>54780.17</v>
      </c>
      <c r="I28" s="2">
        <v>43153</v>
      </c>
      <c r="J28" s="2">
        <v>44308</v>
      </c>
      <c r="K28">
        <v>53338.49</v>
      </c>
    </row>
    <row r="29" spans="1:11" x14ac:dyDescent="0.25">
      <c r="A29" t="str">
        <f>"7278352E10"</f>
        <v>7278352E10</v>
      </c>
      <c r="B29" t="str">
        <f t="shared" si="0"/>
        <v>06363391001</v>
      </c>
      <c r="C29" t="s">
        <v>16</v>
      </c>
      <c r="D29" t="s">
        <v>74</v>
      </c>
      <c r="E29" t="s">
        <v>56</v>
      </c>
      <c r="F29" s="1" t="s">
        <v>75</v>
      </c>
      <c r="G29" t="s">
        <v>76</v>
      </c>
      <c r="H29">
        <v>235386.67</v>
      </c>
      <c r="I29" s="2">
        <v>43191</v>
      </c>
      <c r="J29" s="2">
        <v>44469</v>
      </c>
      <c r="K29">
        <v>235386.52</v>
      </c>
    </row>
    <row r="30" spans="1:11" x14ac:dyDescent="0.25">
      <c r="A30" t="str">
        <f>"ZC822E1CD4"</f>
        <v>ZC822E1CD4</v>
      </c>
      <c r="B30" t="str">
        <f t="shared" si="0"/>
        <v>06363391001</v>
      </c>
      <c r="C30" t="s">
        <v>16</v>
      </c>
      <c r="D30" t="s">
        <v>77</v>
      </c>
      <c r="E30" t="s">
        <v>26</v>
      </c>
      <c r="F30" s="1" t="s">
        <v>78</v>
      </c>
      <c r="G30" t="s">
        <v>79</v>
      </c>
      <c r="H30">
        <v>124.8</v>
      </c>
      <c r="I30" s="2">
        <v>43182</v>
      </c>
      <c r="J30" s="2">
        <v>43182</v>
      </c>
      <c r="K30">
        <v>124.8</v>
      </c>
    </row>
    <row r="31" spans="1:11" x14ac:dyDescent="0.25">
      <c r="A31" t="str">
        <f>"7402008A3A"</f>
        <v>7402008A3A</v>
      </c>
      <c r="B31" t="str">
        <f t="shared" si="0"/>
        <v>06363391001</v>
      </c>
      <c r="C31" t="s">
        <v>16</v>
      </c>
      <c r="D31" t="s">
        <v>80</v>
      </c>
      <c r="E31" t="s">
        <v>18</v>
      </c>
      <c r="F31" s="1" t="s">
        <v>52</v>
      </c>
      <c r="G31" t="s">
        <v>53</v>
      </c>
      <c r="H31">
        <v>61921</v>
      </c>
      <c r="I31" s="2">
        <v>43236</v>
      </c>
      <c r="J31" s="2">
        <v>45061</v>
      </c>
      <c r="K31">
        <v>43344.84</v>
      </c>
    </row>
    <row r="32" spans="1:11" x14ac:dyDescent="0.25">
      <c r="A32" t="str">
        <f>"7489886175"</f>
        <v>7489886175</v>
      </c>
      <c r="B32" t="str">
        <f t="shared" si="0"/>
        <v>06363391001</v>
      </c>
      <c r="C32" t="s">
        <v>16</v>
      </c>
      <c r="D32" t="s">
        <v>81</v>
      </c>
      <c r="E32" t="s">
        <v>18</v>
      </c>
      <c r="F32" s="1" t="s">
        <v>82</v>
      </c>
      <c r="G32" t="s">
        <v>83</v>
      </c>
      <c r="H32">
        <v>0</v>
      </c>
      <c r="I32" s="2">
        <v>43374</v>
      </c>
      <c r="J32" s="2">
        <v>43738</v>
      </c>
      <c r="K32">
        <v>802834.66</v>
      </c>
    </row>
    <row r="33" spans="1:11" x14ac:dyDescent="0.25">
      <c r="A33" t="str">
        <f>"75281845F6"</f>
        <v>75281845F6</v>
      </c>
      <c r="B33" t="str">
        <f t="shared" si="0"/>
        <v>06363391001</v>
      </c>
      <c r="C33" t="s">
        <v>16</v>
      </c>
      <c r="D33" t="s">
        <v>84</v>
      </c>
      <c r="E33" t="s">
        <v>18</v>
      </c>
      <c r="F33" s="1" t="s">
        <v>85</v>
      </c>
      <c r="G33" t="s">
        <v>86</v>
      </c>
      <c r="H33">
        <v>0</v>
      </c>
      <c r="I33" s="2">
        <v>43265</v>
      </c>
      <c r="J33" s="2">
        <v>44361</v>
      </c>
      <c r="K33">
        <v>190521.59</v>
      </c>
    </row>
    <row r="34" spans="1:11" x14ac:dyDescent="0.25">
      <c r="A34" t="str">
        <f>"0000000000"</f>
        <v>0000000000</v>
      </c>
      <c r="B34" t="str">
        <f t="shared" si="0"/>
        <v>06363391001</v>
      </c>
      <c r="C34" t="s">
        <v>16</v>
      </c>
      <c r="D34" t="s">
        <v>87</v>
      </c>
      <c r="E34" t="s">
        <v>26</v>
      </c>
      <c r="F34" s="1" t="s">
        <v>88</v>
      </c>
      <c r="G34" t="s">
        <v>89</v>
      </c>
      <c r="H34">
        <v>12480</v>
      </c>
      <c r="I34" s="2">
        <v>43229</v>
      </c>
      <c r="J34" s="2">
        <v>43465</v>
      </c>
      <c r="K34">
        <v>12480</v>
      </c>
    </row>
    <row r="35" spans="1:11" x14ac:dyDescent="0.25">
      <c r="A35" t="str">
        <f>"703392742F"</f>
        <v>703392742F</v>
      </c>
      <c r="B35" t="str">
        <f t="shared" si="0"/>
        <v>06363391001</v>
      </c>
      <c r="C35" t="s">
        <v>16</v>
      </c>
      <c r="D35" t="s">
        <v>90</v>
      </c>
      <c r="E35" t="s">
        <v>18</v>
      </c>
      <c r="F35" s="1" t="s">
        <v>91</v>
      </c>
      <c r="G35" t="s">
        <v>92</v>
      </c>
      <c r="H35">
        <v>168409.35</v>
      </c>
      <c r="I35" s="2">
        <v>42825</v>
      </c>
      <c r="J35" s="2">
        <v>43921</v>
      </c>
      <c r="K35">
        <v>138250.26</v>
      </c>
    </row>
    <row r="36" spans="1:11" x14ac:dyDescent="0.25">
      <c r="A36" t="str">
        <f>"7081548646"</f>
        <v>7081548646</v>
      </c>
      <c r="B36" t="str">
        <f t="shared" si="0"/>
        <v>06363391001</v>
      </c>
      <c r="C36" t="s">
        <v>16</v>
      </c>
      <c r="D36" t="s">
        <v>93</v>
      </c>
      <c r="E36" t="s">
        <v>18</v>
      </c>
      <c r="F36" s="1" t="s">
        <v>42</v>
      </c>
      <c r="G36" t="s">
        <v>43</v>
      </c>
      <c r="H36">
        <v>0</v>
      </c>
      <c r="I36" s="2">
        <v>42948</v>
      </c>
      <c r="J36" s="2">
        <v>43373</v>
      </c>
      <c r="K36">
        <v>946555.81</v>
      </c>
    </row>
    <row r="37" spans="1:11" x14ac:dyDescent="0.25">
      <c r="A37" t="str">
        <f>"7529552EDC"</f>
        <v>7529552EDC</v>
      </c>
      <c r="B37" t="str">
        <f t="shared" si="0"/>
        <v>06363391001</v>
      </c>
      <c r="C37" t="s">
        <v>16</v>
      </c>
      <c r="D37" t="s">
        <v>94</v>
      </c>
      <c r="E37" t="s">
        <v>56</v>
      </c>
      <c r="F37" s="1" t="s">
        <v>95</v>
      </c>
      <c r="G37" s="1" t="s">
        <v>96</v>
      </c>
      <c r="H37">
        <v>177832.56</v>
      </c>
      <c r="I37" s="2">
        <v>43389</v>
      </c>
      <c r="J37" s="2">
        <v>44485</v>
      </c>
      <c r="K37">
        <v>119342.75</v>
      </c>
    </row>
    <row r="38" spans="1:11" x14ac:dyDescent="0.25">
      <c r="A38" t="str">
        <f>"Z04263A00E"</f>
        <v>Z04263A00E</v>
      </c>
      <c r="B38" t="str">
        <f t="shared" si="0"/>
        <v>06363391001</v>
      </c>
      <c r="C38" t="s">
        <v>16</v>
      </c>
      <c r="D38" t="s">
        <v>97</v>
      </c>
      <c r="E38" t="s">
        <v>26</v>
      </c>
      <c r="F38" s="1" t="s">
        <v>98</v>
      </c>
      <c r="G38" t="s">
        <v>99</v>
      </c>
      <c r="H38">
        <v>4000</v>
      </c>
      <c r="I38" s="2">
        <v>43431</v>
      </c>
      <c r="J38" s="2">
        <v>43431</v>
      </c>
      <c r="K38">
        <v>0</v>
      </c>
    </row>
    <row r="39" spans="1:11" x14ac:dyDescent="0.25">
      <c r="A39" t="str">
        <f>"754886614B"</f>
        <v>754886614B</v>
      </c>
      <c r="B39" t="str">
        <f t="shared" si="0"/>
        <v>06363391001</v>
      </c>
      <c r="C39" t="s">
        <v>16</v>
      </c>
      <c r="D39" t="s">
        <v>100</v>
      </c>
      <c r="E39" t="s">
        <v>18</v>
      </c>
      <c r="F39" s="1" t="s">
        <v>101</v>
      </c>
      <c r="G39" t="s">
        <v>102</v>
      </c>
      <c r="H39">
        <v>8253.1200000000008</v>
      </c>
      <c r="I39" s="2">
        <v>43446</v>
      </c>
      <c r="J39" s="2">
        <v>44907</v>
      </c>
      <c r="K39">
        <v>6303.58</v>
      </c>
    </row>
    <row r="40" spans="1:11" x14ac:dyDescent="0.25">
      <c r="A40" t="str">
        <f>"75937798AA"</f>
        <v>75937798AA</v>
      </c>
      <c r="B40" t="str">
        <f t="shared" si="0"/>
        <v>06363391001</v>
      </c>
      <c r="C40" t="s">
        <v>16</v>
      </c>
      <c r="D40" t="s">
        <v>103</v>
      </c>
      <c r="E40" t="s">
        <v>18</v>
      </c>
      <c r="F40" s="1" t="s">
        <v>101</v>
      </c>
      <c r="G40" t="s">
        <v>102</v>
      </c>
      <c r="H40">
        <v>10747.2</v>
      </c>
      <c r="I40" s="2">
        <v>43505</v>
      </c>
      <c r="J40" s="2">
        <v>44966</v>
      </c>
      <c r="K40">
        <v>7872.7</v>
      </c>
    </row>
    <row r="41" spans="1:11" x14ac:dyDescent="0.25">
      <c r="A41" t="str">
        <f>"7593757683"</f>
        <v>7593757683</v>
      </c>
      <c r="B41" t="str">
        <f t="shared" si="0"/>
        <v>06363391001</v>
      </c>
      <c r="C41" t="s">
        <v>16</v>
      </c>
      <c r="D41" t="s">
        <v>104</v>
      </c>
      <c r="E41" t="s">
        <v>18</v>
      </c>
      <c r="F41" s="1" t="s">
        <v>101</v>
      </c>
      <c r="G41" t="s">
        <v>102</v>
      </c>
      <c r="H41">
        <v>10747.2</v>
      </c>
      <c r="I41" s="2">
        <v>43501</v>
      </c>
      <c r="J41" s="2">
        <v>44961</v>
      </c>
      <c r="K41">
        <v>6878.7</v>
      </c>
    </row>
    <row r="42" spans="1:11" x14ac:dyDescent="0.25">
      <c r="A42" t="str">
        <f>"7593798858"</f>
        <v>7593798858</v>
      </c>
      <c r="B42" t="str">
        <f t="shared" si="0"/>
        <v>06363391001</v>
      </c>
      <c r="C42" t="s">
        <v>16</v>
      </c>
      <c r="D42" t="s">
        <v>105</v>
      </c>
      <c r="E42" t="s">
        <v>18</v>
      </c>
      <c r="F42" s="1" t="s">
        <v>101</v>
      </c>
      <c r="G42" t="s">
        <v>102</v>
      </c>
      <c r="H42">
        <v>10747.2</v>
      </c>
      <c r="I42" s="2">
        <v>43512</v>
      </c>
      <c r="J42" s="2">
        <v>44972</v>
      </c>
      <c r="K42">
        <v>7370.53</v>
      </c>
    </row>
    <row r="43" spans="1:11" x14ac:dyDescent="0.25">
      <c r="A43" t="str">
        <f>"7593728E92"</f>
        <v>7593728E92</v>
      </c>
      <c r="B43" t="str">
        <f t="shared" si="0"/>
        <v>06363391001</v>
      </c>
      <c r="C43" t="s">
        <v>16</v>
      </c>
      <c r="D43" t="s">
        <v>106</v>
      </c>
      <c r="E43" t="s">
        <v>18</v>
      </c>
      <c r="F43" s="1" t="s">
        <v>101</v>
      </c>
      <c r="G43" t="s">
        <v>102</v>
      </c>
      <c r="H43">
        <v>10747.2</v>
      </c>
      <c r="I43" s="2">
        <v>43499</v>
      </c>
      <c r="J43" s="2">
        <v>44959</v>
      </c>
      <c r="K43">
        <v>7532.18</v>
      </c>
    </row>
    <row r="44" spans="1:11" x14ac:dyDescent="0.25">
      <c r="A44" t="str">
        <f>"715516876B"</f>
        <v>715516876B</v>
      </c>
      <c r="B44" t="str">
        <f t="shared" si="0"/>
        <v>06363391001</v>
      </c>
      <c r="C44" t="s">
        <v>16</v>
      </c>
      <c r="D44" t="s">
        <v>107</v>
      </c>
      <c r="E44" t="s">
        <v>63</v>
      </c>
      <c r="F44" s="1" t="s">
        <v>108</v>
      </c>
      <c r="G44" t="s">
        <v>109</v>
      </c>
      <c r="H44">
        <v>123456</v>
      </c>
      <c r="I44" s="2">
        <v>43101</v>
      </c>
      <c r="J44" s="2">
        <v>44227</v>
      </c>
      <c r="K44">
        <v>15997.81</v>
      </c>
    </row>
    <row r="45" spans="1:11" x14ac:dyDescent="0.25">
      <c r="A45" t="str">
        <f>"776568914B"</f>
        <v>776568914B</v>
      </c>
      <c r="B45" t="str">
        <f t="shared" si="0"/>
        <v>06363391001</v>
      </c>
      <c r="C45" t="s">
        <v>16</v>
      </c>
      <c r="D45" t="s">
        <v>110</v>
      </c>
      <c r="E45" t="s">
        <v>26</v>
      </c>
      <c r="F45" s="1" t="s">
        <v>111</v>
      </c>
      <c r="G45" t="s">
        <v>112</v>
      </c>
      <c r="H45">
        <v>0</v>
      </c>
      <c r="I45" s="2">
        <v>43467</v>
      </c>
      <c r="K45">
        <v>38409.25</v>
      </c>
    </row>
    <row r="46" spans="1:11" x14ac:dyDescent="0.25">
      <c r="A46" t="str">
        <f>"7693618E68"</f>
        <v>7693618E68</v>
      </c>
      <c r="B46" t="str">
        <f t="shared" si="0"/>
        <v>06363391001</v>
      </c>
      <c r="C46" t="s">
        <v>16</v>
      </c>
      <c r="D46" t="s">
        <v>113</v>
      </c>
      <c r="E46" t="s">
        <v>56</v>
      </c>
      <c r="F46" s="1" t="s">
        <v>114</v>
      </c>
      <c r="G46" t="s">
        <v>115</v>
      </c>
      <c r="H46">
        <v>200000</v>
      </c>
      <c r="I46" s="2">
        <v>43497</v>
      </c>
      <c r="J46" s="2">
        <v>44834</v>
      </c>
      <c r="K46">
        <v>94950.92</v>
      </c>
    </row>
    <row r="47" spans="1:11" x14ac:dyDescent="0.25">
      <c r="A47" t="str">
        <f>"6559726922"</f>
        <v>6559726922</v>
      </c>
      <c r="B47" t="str">
        <f t="shared" si="0"/>
        <v>06363391001</v>
      </c>
      <c r="C47" t="s">
        <v>16</v>
      </c>
      <c r="D47" t="s">
        <v>116</v>
      </c>
      <c r="E47" t="s">
        <v>117</v>
      </c>
      <c r="F47" s="1" t="s">
        <v>118</v>
      </c>
      <c r="G47" t="s">
        <v>119</v>
      </c>
      <c r="H47">
        <v>0</v>
      </c>
      <c r="I47" s="2">
        <v>42370</v>
      </c>
      <c r="J47" s="2">
        <v>43100</v>
      </c>
      <c r="K47">
        <v>67327.06</v>
      </c>
    </row>
    <row r="48" spans="1:11" x14ac:dyDescent="0.25">
      <c r="A48" t="str">
        <f>"7782482350"</f>
        <v>7782482350</v>
      </c>
      <c r="B48" t="str">
        <f t="shared" si="0"/>
        <v>06363391001</v>
      </c>
      <c r="C48" t="s">
        <v>16</v>
      </c>
      <c r="D48" t="s">
        <v>120</v>
      </c>
      <c r="E48" t="s">
        <v>18</v>
      </c>
      <c r="F48" s="1" t="s">
        <v>82</v>
      </c>
      <c r="G48" t="s">
        <v>83</v>
      </c>
      <c r="H48">
        <v>0</v>
      </c>
      <c r="I48" s="2">
        <v>43556</v>
      </c>
      <c r="J48" s="2">
        <v>44165</v>
      </c>
      <c r="K48">
        <v>795699.17</v>
      </c>
    </row>
    <row r="49" spans="1:11" x14ac:dyDescent="0.25">
      <c r="A49" t="str">
        <f>"Z6A27161F0"</f>
        <v>Z6A27161F0</v>
      </c>
      <c r="B49" t="str">
        <f t="shared" si="0"/>
        <v>06363391001</v>
      </c>
      <c r="C49" t="s">
        <v>16</v>
      </c>
      <c r="D49" t="s">
        <v>121</v>
      </c>
      <c r="E49" t="s">
        <v>26</v>
      </c>
      <c r="F49" s="1" t="s">
        <v>122</v>
      </c>
      <c r="G49" t="s">
        <v>123</v>
      </c>
      <c r="H49">
        <v>4900</v>
      </c>
      <c r="I49" s="2">
        <v>43466</v>
      </c>
      <c r="J49" s="2">
        <v>44347</v>
      </c>
      <c r="K49">
        <v>5306.7</v>
      </c>
    </row>
    <row r="50" spans="1:11" x14ac:dyDescent="0.25">
      <c r="A50" t="str">
        <f>"77840755E5"</f>
        <v>77840755E5</v>
      </c>
      <c r="B50" t="str">
        <f t="shared" si="0"/>
        <v>06363391001</v>
      </c>
      <c r="C50" t="s">
        <v>16</v>
      </c>
      <c r="D50" t="s">
        <v>124</v>
      </c>
      <c r="E50" t="s">
        <v>56</v>
      </c>
      <c r="F50" s="1" t="s">
        <v>125</v>
      </c>
      <c r="G50" t="s">
        <v>126</v>
      </c>
      <c r="H50">
        <v>193536</v>
      </c>
      <c r="I50" s="2">
        <v>43550</v>
      </c>
      <c r="J50" s="2">
        <v>43595</v>
      </c>
      <c r="K50">
        <v>187084.79999999999</v>
      </c>
    </row>
    <row r="51" spans="1:11" x14ac:dyDescent="0.25">
      <c r="A51" t="str">
        <f>"7734900168"</f>
        <v>7734900168</v>
      </c>
      <c r="B51" t="str">
        <f t="shared" si="0"/>
        <v>06363391001</v>
      </c>
      <c r="C51" t="s">
        <v>16</v>
      </c>
      <c r="D51" t="s">
        <v>127</v>
      </c>
      <c r="E51" t="s">
        <v>56</v>
      </c>
      <c r="F51" s="1" t="s">
        <v>128</v>
      </c>
      <c r="G51" t="s">
        <v>129</v>
      </c>
      <c r="H51">
        <v>774698.63</v>
      </c>
      <c r="I51" s="2">
        <v>43555</v>
      </c>
      <c r="J51" s="2">
        <v>44620</v>
      </c>
      <c r="K51">
        <v>731485.71</v>
      </c>
    </row>
    <row r="52" spans="1:11" x14ac:dyDescent="0.25">
      <c r="A52" t="str">
        <f>"ZDB26A3886"</f>
        <v>ZDB26A3886</v>
      </c>
      <c r="B52" t="str">
        <f t="shared" si="0"/>
        <v>06363391001</v>
      </c>
      <c r="C52" t="s">
        <v>16</v>
      </c>
      <c r="D52" t="s">
        <v>130</v>
      </c>
      <c r="E52" t="s">
        <v>26</v>
      </c>
      <c r="F52" s="1" t="s">
        <v>131</v>
      </c>
      <c r="G52" t="s">
        <v>132</v>
      </c>
      <c r="H52">
        <v>14418</v>
      </c>
      <c r="I52" s="2">
        <v>43480</v>
      </c>
      <c r="J52" s="2">
        <v>44211</v>
      </c>
      <c r="K52">
        <v>14418</v>
      </c>
    </row>
    <row r="53" spans="1:11" x14ac:dyDescent="0.25">
      <c r="A53" t="str">
        <f>"7853899A7A"</f>
        <v>7853899A7A</v>
      </c>
      <c r="B53" t="str">
        <f t="shared" si="0"/>
        <v>06363391001</v>
      </c>
      <c r="C53" t="s">
        <v>16</v>
      </c>
      <c r="D53" t="s">
        <v>133</v>
      </c>
      <c r="E53" t="s">
        <v>26</v>
      </c>
      <c r="F53" s="1" t="s">
        <v>134</v>
      </c>
      <c r="G53" t="s">
        <v>135</v>
      </c>
      <c r="H53">
        <v>208000</v>
      </c>
      <c r="I53" s="2">
        <v>43553</v>
      </c>
      <c r="J53" s="2">
        <v>44284</v>
      </c>
      <c r="K53">
        <v>208000</v>
      </c>
    </row>
    <row r="54" spans="1:11" x14ac:dyDescent="0.25">
      <c r="A54" t="str">
        <f>"ZBD27B3F72"</f>
        <v>ZBD27B3F72</v>
      </c>
      <c r="B54" t="str">
        <f t="shared" si="0"/>
        <v>06363391001</v>
      </c>
      <c r="C54" t="s">
        <v>16</v>
      </c>
      <c r="D54" t="s">
        <v>136</v>
      </c>
      <c r="E54" t="s">
        <v>56</v>
      </c>
      <c r="F54" s="1" t="s">
        <v>137</v>
      </c>
      <c r="G54" t="s">
        <v>138</v>
      </c>
      <c r="H54">
        <v>21200</v>
      </c>
      <c r="I54" s="2">
        <v>43609</v>
      </c>
      <c r="J54" s="2">
        <v>44705</v>
      </c>
      <c r="K54">
        <v>20599.830000000002</v>
      </c>
    </row>
    <row r="55" spans="1:11" x14ac:dyDescent="0.25">
      <c r="A55" t="str">
        <f>"7920365BF4"</f>
        <v>7920365BF4</v>
      </c>
      <c r="B55" t="str">
        <f t="shared" si="0"/>
        <v>06363391001</v>
      </c>
      <c r="C55" t="s">
        <v>16</v>
      </c>
      <c r="D55" t="s">
        <v>139</v>
      </c>
      <c r="E55" t="s">
        <v>18</v>
      </c>
      <c r="F55" s="1" t="s">
        <v>52</v>
      </c>
      <c r="G55" t="s">
        <v>53</v>
      </c>
      <c r="H55">
        <v>17463.599999999999</v>
      </c>
      <c r="I55" s="2">
        <v>43668</v>
      </c>
      <c r="J55" s="2">
        <v>45494</v>
      </c>
      <c r="K55">
        <v>8286.42</v>
      </c>
    </row>
    <row r="56" spans="1:11" x14ac:dyDescent="0.25">
      <c r="A56" t="str">
        <f>"792036297B"</f>
        <v>792036297B</v>
      </c>
      <c r="B56" t="str">
        <f t="shared" si="0"/>
        <v>06363391001</v>
      </c>
      <c r="C56" t="s">
        <v>16</v>
      </c>
      <c r="D56" t="s">
        <v>140</v>
      </c>
      <c r="E56" t="s">
        <v>18</v>
      </c>
      <c r="F56" s="1" t="s">
        <v>52</v>
      </c>
      <c r="G56" t="s">
        <v>53</v>
      </c>
      <c r="H56">
        <v>8556</v>
      </c>
      <c r="I56" s="2">
        <v>43668</v>
      </c>
      <c r="J56" s="2">
        <v>45494</v>
      </c>
      <c r="K56">
        <v>3422.4</v>
      </c>
    </row>
    <row r="57" spans="1:11" x14ac:dyDescent="0.25">
      <c r="A57" t="str">
        <f>"Z4D277B1C7"</f>
        <v>Z4D277B1C7</v>
      </c>
      <c r="B57" t="str">
        <f t="shared" si="0"/>
        <v>06363391001</v>
      </c>
      <c r="C57" t="s">
        <v>16</v>
      </c>
      <c r="D57" t="s">
        <v>141</v>
      </c>
      <c r="E57" t="s">
        <v>56</v>
      </c>
      <c r="F57" s="1" t="s">
        <v>142</v>
      </c>
      <c r="G57" t="s">
        <v>143</v>
      </c>
      <c r="H57">
        <v>12000</v>
      </c>
      <c r="I57" s="2">
        <v>43617</v>
      </c>
      <c r="J57" s="2">
        <v>44712</v>
      </c>
      <c r="K57">
        <v>10000</v>
      </c>
    </row>
    <row r="58" spans="1:11" x14ac:dyDescent="0.25">
      <c r="A58" t="str">
        <f>"Z0E28DD58E"</f>
        <v>Z0E28DD58E</v>
      </c>
      <c r="B58" t="str">
        <f t="shared" si="0"/>
        <v>06363391001</v>
      </c>
      <c r="C58" t="s">
        <v>16</v>
      </c>
      <c r="D58" t="s">
        <v>144</v>
      </c>
      <c r="E58" t="s">
        <v>117</v>
      </c>
      <c r="F58" s="1" t="s">
        <v>145</v>
      </c>
      <c r="G58" t="s">
        <v>146</v>
      </c>
      <c r="H58">
        <v>19000</v>
      </c>
      <c r="I58" s="2">
        <v>43658</v>
      </c>
      <c r="J58" s="2">
        <v>44388</v>
      </c>
      <c r="K58">
        <v>14659.87</v>
      </c>
    </row>
    <row r="59" spans="1:11" x14ac:dyDescent="0.25">
      <c r="A59" t="str">
        <f>"Z4328AFDA0"</f>
        <v>Z4328AFDA0</v>
      </c>
      <c r="B59" t="str">
        <f t="shared" si="0"/>
        <v>06363391001</v>
      </c>
      <c r="C59" t="s">
        <v>16</v>
      </c>
      <c r="D59" t="s">
        <v>147</v>
      </c>
      <c r="E59" t="s">
        <v>56</v>
      </c>
      <c r="F59" s="1" t="s">
        <v>148</v>
      </c>
      <c r="G59" t="s">
        <v>149</v>
      </c>
      <c r="H59">
        <v>8000</v>
      </c>
      <c r="I59" s="2">
        <v>43671</v>
      </c>
      <c r="J59" s="2">
        <v>44401</v>
      </c>
      <c r="K59">
        <v>5975.5</v>
      </c>
    </row>
    <row r="60" spans="1:11" x14ac:dyDescent="0.25">
      <c r="A60" t="str">
        <f>"7776959596"</f>
        <v>7776959596</v>
      </c>
      <c r="B60" t="str">
        <f t="shared" si="0"/>
        <v>06363391001</v>
      </c>
      <c r="C60" t="s">
        <v>16</v>
      </c>
      <c r="D60" t="s">
        <v>150</v>
      </c>
      <c r="E60" t="s">
        <v>18</v>
      </c>
      <c r="F60" s="1" t="s">
        <v>101</v>
      </c>
      <c r="G60" t="s">
        <v>102</v>
      </c>
      <c r="H60">
        <v>10853.76</v>
      </c>
      <c r="I60" s="2">
        <v>43670</v>
      </c>
      <c r="J60" s="2">
        <v>45130</v>
      </c>
      <c r="K60">
        <v>6578.53</v>
      </c>
    </row>
    <row r="61" spans="1:11" x14ac:dyDescent="0.25">
      <c r="A61" t="str">
        <f>"7776933023"</f>
        <v>7776933023</v>
      </c>
      <c r="B61" t="str">
        <f t="shared" si="0"/>
        <v>06363391001</v>
      </c>
      <c r="C61" t="s">
        <v>16</v>
      </c>
      <c r="D61" t="s">
        <v>151</v>
      </c>
      <c r="E61" t="s">
        <v>18</v>
      </c>
      <c r="F61" s="1" t="s">
        <v>101</v>
      </c>
      <c r="G61" t="s">
        <v>102</v>
      </c>
      <c r="H61">
        <v>11088.48</v>
      </c>
      <c r="I61" s="2">
        <v>43670</v>
      </c>
      <c r="J61" s="2">
        <v>45130</v>
      </c>
      <c r="K61">
        <v>6751.45</v>
      </c>
    </row>
    <row r="62" spans="1:11" x14ac:dyDescent="0.25">
      <c r="A62" t="str">
        <f>"ZBB27F1265"</f>
        <v>ZBB27F1265</v>
      </c>
      <c r="B62" t="str">
        <f t="shared" si="0"/>
        <v>06363391001</v>
      </c>
      <c r="C62" t="s">
        <v>16</v>
      </c>
      <c r="D62" t="s">
        <v>152</v>
      </c>
      <c r="E62" t="s">
        <v>56</v>
      </c>
      <c r="F62" s="1" t="s">
        <v>153</v>
      </c>
      <c r="G62" t="s">
        <v>154</v>
      </c>
      <c r="H62">
        <v>39000</v>
      </c>
      <c r="I62" s="2">
        <v>43605</v>
      </c>
      <c r="J62" s="2">
        <v>44336</v>
      </c>
      <c r="K62">
        <v>50604</v>
      </c>
    </row>
    <row r="63" spans="1:11" x14ac:dyDescent="0.25">
      <c r="A63" t="str">
        <f>"79901017ED"</f>
        <v>79901017ED</v>
      </c>
      <c r="B63" t="str">
        <f t="shared" si="0"/>
        <v>06363391001</v>
      </c>
      <c r="C63" t="s">
        <v>16</v>
      </c>
      <c r="D63" t="s">
        <v>155</v>
      </c>
      <c r="E63" t="s">
        <v>18</v>
      </c>
      <c r="F63" s="1" t="s">
        <v>82</v>
      </c>
      <c r="G63" t="s">
        <v>83</v>
      </c>
      <c r="H63">
        <v>0</v>
      </c>
      <c r="I63" s="2">
        <v>43739</v>
      </c>
      <c r="J63" s="2">
        <v>44104</v>
      </c>
      <c r="K63">
        <v>164401.35999999999</v>
      </c>
    </row>
    <row r="64" spans="1:11" x14ac:dyDescent="0.25">
      <c r="A64" t="str">
        <f>"Z6B2969D58"</f>
        <v>Z6B2969D58</v>
      </c>
      <c r="B64" t="str">
        <f t="shared" si="0"/>
        <v>06363391001</v>
      </c>
      <c r="C64" t="s">
        <v>16</v>
      </c>
      <c r="D64" t="s">
        <v>156</v>
      </c>
      <c r="E64" t="s">
        <v>18</v>
      </c>
      <c r="F64" s="1" t="s">
        <v>82</v>
      </c>
      <c r="G64" t="s">
        <v>83</v>
      </c>
      <c r="H64">
        <v>0</v>
      </c>
      <c r="I64" s="2">
        <v>43739</v>
      </c>
      <c r="J64" s="2">
        <v>44104</v>
      </c>
      <c r="K64">
        <v>3946.13</v>
      </c>
    </row>
    <row r="65" spans="1:11" x14ac:dyDescent="0.25">
      <c r="A65" t="str">
        <f>"Z82294F80F"</f>
        <v>Z82294F80F</v>
      </c>
      <c r="B65" t="str">
        <f t="shared" si="0"/>
        <v>06363391001</v>
      </c>
      <c r="C65" t="s">
        <v>16</v>
      </c>
      <c r="D65" t="s">
        <v>46</v>
      </c>
      <c r="E65" t="s">
        <v>18</v>
      </c>
      <c r="F65" s="1" t="s">
        <v>52</v>
      </c>
      <c r="G65" t="s">
        <v>53</v>
      </c>
      <c r="H65">
        <v>2740</v>
      </c>
      <c r="I65" s="2">
        <v>43718</v>
      </c>
      <c r="J65" s="2">
        <v>45178</v>
      </c>
      <c r="K65">
        <v>1541.25</v>
      </c>
    </row>
    <row r="66" spans="1:11" x14ac:dyDescent="0.25">
      <c r="A66" t="str">
        <f>"7593805E1D"</f>
        <v>7593805E1D</v>
      </c>
      <c r="B66" t="str">
        <f t="shared" si="0"/>
        <v>06363391001</v>
      </c>
      <c r="C66" t="s">
        <v>16</v>
      </c>
      <c r="D66" t="s">
        <v>157</v>
      </c>
      <c r="E66" t="s">
        <v>18</v>
      </c>
      <c r="F66" s="1" t="s">
        <v>101</v>
      </c>
      <c r="G66" t="s">
        <v>102</v>
      </c>
      <c r="H66">
        <v>10747.2</v>
      </c>
      <c r="I66" s="2">
        <v>43507</v>
      </c>
      <c r="J66" s="2">
        <v>44967</v>
      </c>
      <c r="K66">
        <v>7316.49</v>
      </c>
    </row>
    <row r="67" spans="1:11" x14ac:dyDescent="0.25">
      <c r="A67" t="str">
        <f>"7528143421"</f>
        <v>7528143421</v>
      </c>
      <c r="B67" t="str">
        <f t="shared" ref="B67:B130" si="1">"06363391001"</f>
        <v>06363391001</v>
      </c>
      <c r="C67" t="s">
        <v>16</v>
      </c>
      <c r="D67" t="s">
        <v>158</v>
      </c>
      <c r="E67" t="s">
        <v>18</v>
      </c>
      <c r="F67" s="1" t="s">
        <v>101</v>
      </c>
      <c r="G67" t="s">
        <v>102</v>
      </c>
      <c r="H67">
        <v>8253.1200000000008</v>
      </c>
      <c r="I67" s="2">
        <v>43429</v>
      </c>
      <c r="J67" s="2">
        <v>44889</v>
      </c>
      <c r="K67">
        <v>6326.56</v>
      </c>
    </row>
    <row r="68" spans="1:11" x14ac:dyDescent="0.25">
      <c r="A68" t="str">
        <f>"6804394B8D"</f>
        <v>6804394B8D</v>
      </c>
      <c r="B68" t="str">
        <f t="shared" si="1"/>
        <v>06363391001</v>
      </c>
      <c r="C68" t="s">
        <v>16</v>
      </c>
      <c r="D68" t="s">
        <v>159</v>
      </c>
      <c r="E68" t="s">
        <v>18</v>
      </c>
      <c r="F68" s="1" t="s">
        <v>39</v>
      </c>
      <c r="G68" t="s">
        <v>40</v>
      </c>
      <c r="H68">
        <v>11927.04</v>
      </c>
      <c r="I68" s="2">
        <v>42744</v>
      </c>
      <c r="J68" s="2">
        <v>44205</v>
      </c>
      <c r="K68">
        <v>12003.13</v>
      </c>
    </row>
    <row r="69" spans="1:11" x14ac:dyDescent="0.25">
      <c r="A69" t="str">
        <f>"68043810D6"</f>
        <v>68043810D6</v>
      </c>
      <c r="B69" t="str">
        <f t="shared" si="1"/>
        <v>06363391001</v>
      </c>
      <c r="C69" t="s">
        <v>16</v>
      </c>
      <c r="D69" t="s">
        <v>159</v>
      </c>
      <c r="E69" t="s">
        <v>18</v>
      </c>
      <c r="F69" s="1" t="s">
        <v>39</v>
      </c>
      <c r="G69" t="s">
        <v>40</v>
      </c>
      <c r="H69">
        <v>14979.84</v>
      </c>
      <c r="I69" s="2">
        <v>42776</v>
      </c>
      <c r="J69" s="2">
        <v>44237</v>
      </c>
      <c r="K69">
        <v>2702.75</v>
      </c>
    </row>
    <row r="70" spans="1:11" x14ac:dyDescent="0.25">
      <c r="A70" t="str">
        <f>"6680892E79"</f>
        <v>6680892E79</v>
      </c>
      <c r="B70" t="str">
        <f t="shared" si="1"/>
        <v>06363391001</v>
      </c>
      <c r="C70" t="s">
        <v>16</v>
      </c>
      <c r="D70" t="s">
        <v>160</v>
      </c>
      <c r="E70" t="s">
        <v>18</v>
      </c>
      <c r="F70" s="1" t="s">
        <v>39</v>
      </c>
      <c r="G70" t="s">
        <v>40</v>
      </c>
      <c r="H70">
        <v>15190.08</v>
      </c>
      <c r="I70" s="2">
        <v>42592</v>
      </c>
      <c r="J70" s="2">
        <v>44053</v>
      </c>
      <c r="K70">
        <v>16317.12</v>
      </c>
    </row>
    <row r="71" spans="1:11" x14ac:dyDescent="0.25">
      <c r="A71" t="str">
        <f>"6616588525"</f>
        <v>6616588525</v>
      </c>
      <c r="B71" t="str">
        <f t="shared" si="1"/>
        <v>06363391001</v>
      </c>
      <c r="C71" t="s">
        <v>16</v>
      </c>
      <c r="D71" t="s">
        <v>161</v>
      </c>
      <c r="E71" t="s">
        <v>18</v>
      </c>
      <c r="F71" s="1" t="s">
        <v>39</v>
      </c>
      <c r="G71" t="s">
        <v>40</v>
      </c>
      <c r="H71">
        <v>16433.28</v>
      </c>
      <c r="I71" s="2">
        <v>42578</v>
      </c>
      <c r="J71" s="2">
        <v>44039</v>
      </c>
      <c r="K71">
        <v>16545.93</v>
      </c>
    </row>
    <row r="72" spans="1:11" x14ac:dyDescent="0.25">
      <c r="A72" t="str">
        <f>"65751311C0"</f>
        <v>65751311C0</v>
      </c>
      <c r="B72" t="str">
        <f t="shared" si="1"/>
        <v>06363391001</v>
      </c>
      <c r="C72" t="s">
        <v>16</v>
      </c>
      <c r="D72" t="s">
        <v>162</v>
      </c>
      <c r="E72" t="s">
        <v>18</v>
      </c>
      <c r="F72" s="1" t="s">
        <v>39</v>
      </c>
      <c r="G72" t="s">
        <v>40</v>
      </c>
      <c r="H72">
        <v>14979.84</v>
      </c>
      <c r="I72" s="2">
        <v>42594</v>
      </c>
      <c r="J72" s="2">
        <v>44055</v>
      </c>
      <c r="K72">
        <v>15261.61</v>
      </c>
    </row>
    <row r="73" spans="1:11" x14ac:dyDescent="0.25">
      <c r="A73" t="str">
        <f>"6575138785"</f>
        <v>6575138785</v>
      </c>
      <c r="B73" t="str">
        <f t="shared" si="1"/>
        <v>06363391001</v>
      </c>
      <c r="C73" t="s">
        <v>16</v>
      </c>
      <c r="D73" t="s">
        <v>163</v>
      </c>
      <c r="E73" t="s">
        <v>18</v>
      </c>
      <c r="F73" s="1" t="s">
        <v>39</v>
      </c>
      <c r="G73" t="s">
        <v>40</v>
      </c>
      <c r="H73">
        <v>16433.28</v>
      </c>
      <c r="I73" s="2">
        <v>42571</v>
      </c>
      <c r="J73" s="2">
        <v>44032</v>
      </c>
      <c r="K73">
        <v>15950.02</v>
      </c>
    </row>
    <row r="74" spans="1:11" x14ac:dyDescent="0.25">
      <c r="A74" t="str">
        <f>"6558362388"</f>
        <v>6558362388</v>
      </c>
      <c r="B74" t="str">
        <f t="shared" si="1"/>
        <v>06363391001</v>
      </c>
      <c r="C74" t="s">
        <v>16</v>
      </c>
      <c r="D74" t="s">
        <v>164</v>
      </c>
      <c r="E74" t="s">
        <v>18</v>
      </c>
      <c r="F74" s="1" t="s">
        <v>39</v>
      </c>
      <c r="G74" t="s">
        <v>40</v>
      </c>
      <c r="H74">
        <v>15872.96</v>
      </c>
      <c r="I74" s="2">
        <v>42535</v>
      </c>
      <c r="J74" s="2">
        <v>43996</v>
      </c>
      <c r="K74">
        <v>15342.43</v>
      </c>
    </row>
    <row r="75" spans="1:11" x14ac:dyDescent="0.25">
      <c r="A75" t="str">
        <f>"7451338EA0"</f>
        <v>7451338EA0</v>
      </c>
      <c r="B75" t="str">
        <f t="shared" si="1"/>
        <v>06363391001</v>
      </c>
      <c r="C75" t="s">
        <v>16</v>
      </c>
      <c r="D75" t="s">
        <v>165</v>
      </c>
      <c r="E75" t="s">
        <v>18</v>
      </c>
      <c r="F75" s="1" t="s">
        <v>166</v>
      </c>
      <c r="G75" t="s">
        <v>167</v>
      </c>
      <c r="H75">
        <v>8287.2000000000007</v>
      </c>
      <c r="I75" s="2">
        <v>43409</v>
      </c>
      <c r="J75" s="2">
        <v>44869</v>
      </c>
      <c r="K75">
        <v>6349.57</v>
      </c>
    </row>
    <row r="76" spans="1:11" x14ac:dyDescent="0.25">
      <c r="A76" t="str">
        <f>"79029443B3"</f>
        <v>79029443B3</v>
      </c>
      <c r="B76" t="str">
        <f t="shared" si="1"/>
        <v>06363391001</v>
      </c>
      <c r="C76" t="s">
        <v>16</v>
      </c>
      <c r="D76" t="s">
        <v>168</v>
      </c>
      <c r="E76" t="s">
        <v>18</v>
      </c>
      <c r="F76" s="1" t="s">
        <v>169</v>
      </c>
      <c r="G76" t="s">
        <v>170</v>
      </c>
      <c r="H76">
        <v>19672.13</v>
      </c>
      <c r="I76" s="2">
        <v>43599</v>
      </c>
      <c r="J76" s="2">
        <v>44695</v>
      </c>
      <c r="K76">
        <v>4759.76</v>
      </c>
    </row>
    <row r="77" spans="1:11" x14ac:dyDescent="0.25">
      <c r="A77" t="str">
        <f>"7798788373"</f>
        <v>7798788373</v>
      </c>
      <c r="B77" t="str">
        <f t="shared" si="1"/>
        <v>06363391001</v>
      </c>
      <c r="C77" t="s">
        <v>16</v>
      </c>
      <c r="D77" t="s">
        <v>171</v>
      </c>
      <c r="E77" t="s">
        <v>18</v>
      </c>
      <c r="F77" s="1" t="s">
        <v>172</v>
      </c>
      <c r="G77" t="s">
        <v>173</v>
      </c>
      <c r="H77">
        <v>27240</v>
      </c>
      <c r="I77" s="2">
        <v>43747</v>
      </c>
      <c r="J77" s="2">
        <v>44842</v>
      </c>
      <c r="K77">
        <v>19074.560000000001</v>
      </c>
    </row>
    <row r="78" spans="1:11" x14ac:dyDescent="0.25">
      <c r="A78" t="str">
        <f>"Z112AD3467"</f>
        <v>Z112AD3467</v>
      </c>
      <c r="B78" t="str">
        <f t="shared" si="1"/>
        <v>06363391001</v>
      </c>
      <c r="C78" t="s">
        <v>16</v>
      </c>
      <c r="D78" t="s">
        <v>174</v>
      </c>
      <c r="E78" t="s">
        <v>26</v>
      </c>
      <c r="F78" s="1" t="s">
        <v>175</v>
      </c>
      <c r="G78" t="s">
        <v>176</v>
      </c>
      <c r="H78">
        <v>39970.239999999998</v>
      </c>
      <c r="I78" s="2">
        <v>43803</v>
      </c>
      <c r="J78" s="2">
        <v>43861</v>
      </c>
      <c r="K78">
        <v>39970.239999999998</v>
      </c>
    </row>
    <row r="79" spans="1:11" x14ac:dyDescent="0.25">
      <c r="A79" t="str">
        <f>"ZF92B25603"</f>
        <v>ZF92B25603</v>
      </c>
      <c r="B79" t="str">
        <f t="shared" si="1"/>
        <v>06363391001</v>
      </c>
      <c r="C79" t="s">
        <v>16</v>
      </c>
      <c r="D79" t="s">
        <v>177</v>
      </c>
      <c r="E79" t="s">
        <v>26</v>
      </c>
      <c r="F79" s="1" t="s">
        <v>178</v>
      </c>
      <c r="G79" t="s">
        <v>179</v>
      </c>
      <c r="H79">
        <v>245.7</v>
      </c>
      <c r="I79" s="2">
        <v>43831</v>
      </c>
      <c r="J79" s="2">
        <v>44196</v>
      </c>
      <c r="K79">
        <v>245.7</v>
      </c>
    </row>
    <row r="80" spans="1:11" x14ac:dyDescent="0.25">
      <c r="A80" t="str">
        <f>"ZEA28319C5"</f>
        <v>ZEA28319C5</v>
      </c>
      <c r="B80" t="str">
        <f t="shared" si="1"/>
        <v>06363391001</v>
      </c>
      <c r="C80" t="s">
        <v>16</v>
      </c>
      <c r="D80" t="s">
        <v>180</v>
      </c>
      <c r="E80" t="s">
        <v>117</v>
      </c>
      <c r="F80" s="1" t="s">
        <v>181</v>
      </c>
      <c r="G80" t="s">
        <v>182</v>
      </c>
      <c r="H80">
        <v>30000</v>
      </c>
      <c r="I80" s="2">
        <v>43641</v>
      </c>
      <c r="J80" s="2">
        <v>44371</v>
      </c>
      <c r="K80">
        <v>24148.92</v>
      </c>
    </row>
    <row r="81" spans="1:11" x14ac:dyDescent="0.25">
      <c r="A81" t="str">
        <f>"8079922291"</f>
        <v>8079922291</v>
      </c>
      <c r="B81" t="str">
        <f t="shared" si="1"/>
        <v>06363391001</v>
      </c>
      <c r="C81" t="s">
        <v>16</v>
      </c>
      <c r="D81" t="s">
        <v>49</v>
      </c>
      <c r="E81" t="s">
        <v>18</v>
      </c>
      <c r="F81" s="1" t="s">
        <v>52</v>
      </c>
      <c r="G81" t="s">
        <v>53</v>
      </c>
      <c r="H81">
        <v>5786.64</v>
      </c>
      <c r="I81" s="2">
        <v>43854</v>
      </c>
      <c r="J81" s="2">
        <v>45314</v>
      </c>
      <c r="K81">
        <v>3375.54</v>
      </c>
    </row>
    <row r="82" spans="1:11" x14ac:dyDescent="0.25">
      <c r="A82" t="str">
        <f>"710466395F"</f>
        <v>710466395F</v>
      </c>
      <c r="B82" t="str">
        <f t="shared" si="1"/>
        <v>06363391001</v>
      </c>
      <c r="C82" t="s">
        <v>16</v>
      </c>
      <c r="D82" t="s">
        <v>183</v>
      </c>
      <c r="E82" t="s">
        <v>56</v>
      </c>
      <c r="F82" s="1" t="s">
        <v>22</v>
      </c>
      <c r="G82" t="s">
        <v>23</v>
      </c>
      <c r="H82">
        <v>200000</v>
      </c>
      <c r="I82" s="2">
        <v>42903</v>
      </c>
      <c r="J82" s="2">
        <v>43815</v>
      </c>
      <c r="K82">
        <v>149180.16</v>
      </c>
    </row>
    <row r="83" spans="1:11" x14ac:dyDescent="0.25">
      <c r="A83" t="str">
        <f>"Z1E26B6592"</f>
        <v>Z1E26B6592</v>
      </c>
      <c r="B83" t="str">
        <f t="shared" si="1"/>
        <v>06363391001</v>
      </c>
      <c r="C83" t="s">
        <v>16</v>
      </c>
      <c r="D83" t="s">
        <v>184</v>
      </c>
      <c r="E83" t="s">
        <v>117</v>
      </c>
      <c r="F83" s="1" t="s">
        <v>185</v>
      </c>
      <c r="G83" t="s">
        <v>186</v>
      </c>
      <c r="H83">
        <v>0</v>
      </c>
      <c r="I83" s="2">
        <v>43497</v>
      </c>
      <c r="J83" s="2">
        <v>44227</v>
      </c>
      <c r="K83">
        <v>38998.89</v>
      </c>
    </row>
    <row r="84" spans="1:11" x14ac:dyDescent="0.25">
      <c r="A84" t="str">
        <f>"Z7F2795EF9"</f>
        <v>Z7F2795EF9</v>
      </c>
      <c r="B84" t="str">
        <f t="shared" si="1"/>
        <v>06363391001</v>
      </c>
      <c r="C84" t="s">
        <v>16</v>
      </c>
      <c r="D84" t="s">
        <v>144</v>
      </c>
      <c r="E84" t="s">
        <v>117</v>
      </c>
      <c r="F84" s="1" t="s">
        <v>187</v>
      </c>
      <c r="G84" t="s">
        <v>188</v>
      </c>
      <c r="H84">
        <v>0</v>
      </c>
      <c r="I84" s="2">
        <v>43545</v>
      </c>
      <c r="J84" s="2">
        <v>44276</v>
      </c>
      <c r="K84">
        <v>76939.41</v>
      </c>
    </row>
    <row r="85" spans="1:11" x14ac:dyDescent="0.25">
      <c r="A85" t="str">
        <f>"ZD127E99D8"</f>
        <v>ZD127E99D8</v>
      </c>
      <c r="B85" t="str">
        <f t="shared" si="1"/>
        <v>06363391001</v>
      </c>
      <c r="C85" t="s">
        <v>16</v>
      </c>
      <c r="D85" t="s">
        <v>189</v>
      </c>
      <c r="E85" t="s">
        <v>117</v>
      </c>
      <c r="F85" s="1" t="s">
        <v>190</v>
      </c>
      <c r="G85" t="s">
        <v>191</v>
      </c>
      <c r="H85">
        <v>0</v>
      </c>
      <c r="I85" s="2">
        <v>43570</v>
      </c>
      <c r="J85" s="2">
        <v>44300</v>
      </c>
      <c r="K85">
        <v>63850.46</v>
      </c>
    </row>
    <row r="86" spans="1:11" x14ac:dyDescent="0.25">
      <c r="A86" t="str">
        <f>"Z1528DD676"</f>
        <v>Z1528DD676</v>
      </c>
      <c r="B86" t="str">
        <f t="shared" si="1"/>
        <v>06363391001</v>
      </c>
      <c r="C86" t="s">
        <v>16</v>
      </c>
      <c r="D86" t="s">
        <v>192</v>
      </c>
      <c r="E86" t="s">
        <v>117</v>
      </c>
      <c r="F86" s="1" t="s">
        <v>193</v>
      </c>
      <c r="G86" t="s">
        <v>194</v>
      </c>
      <c r="H86">
        <v>0</v>
      </c>
      <c r="I86" s="2">
        <v>43650</v>
      </c>
      <c r="J86" s="2">
        <v>44380</v>
      </c>
      <c r="K86">
        <v>17295.73</v>
      </c>
    </row>
    <row r="87" spans="1:11" x14ac:dyDescent="0.25">
      <c r="A87" t="str">
        <f>"Z092957066"</f>
        <v>Z092957066</v>
      </c>
      <c r="B87" t="str">
        <f t="shared" si="1"/>
        <v>06363391001</v>
      </c>
      <c r="C87" t="s">
        <v>16</v>
      </c>
      <c r="D87" t="s">
        <v>195</v>
      </c>
      <c r="E87" t="s">
        <v>117</v>
      </c>
      <c r="F87" s="1" t="s">
        <v>196</v>
      </c>
      <c r="G87" t="s">
        <v>197</v>
      </c>
      <c r="H87">
        <v>0</v>
      </c>
      <c r="I87" s="2">
        <v>43678</v>
      </c>
      <c r="J87" s="2">
        <v>43830</v>
      </c>
      <c r="K87">
        <v>94469.4</v>
      </c>
    </row>
    <row r="88" spans="1:11" x14ac:dyDescent="0.25">
      <c r="A88" t="str">
        <f>"Z0329570BE"</f>
        <v>Z0329570BE</v>
      </c>
      <c r="B88" t="str">
        <f t="shared" si="1"/>
        <v>06363391001</v>
      </c>
      <c r="C88" t="s">
        <v>16</v>
      </c>
      <c r="D88" t="s">
        <v>144</v>
      </c>
      <c r="E88" t="s">
        <v>117</v>
      </c>
      <c r="F88" s="1" t="s">
        <v>198</v>
      </c>
      <c r="G88" t="s">
        <v>199</v>
      </c>
      <c r="H88">
        <v>0</v>
      </c>
      <c r="I88" s="2">
        <v>43724</v>
      </c>
      <c r="J88" s="2">
        <v>43830</v>
      </c>
      <c r="K88">
        <v>65745.3</v>
      </c>
    </row>
    <row r="89" spans="1:11" x14ac:dyDescent="0.25">
      <c r="A89" t="str">
        <f>"ZDF295703B"</f>
        <v>ZDF295703B</v>
      </c>
      <c r="B89" t="str">
        <f t="shared" si="1"/>
        <v>06363391001</v>
      </c>
      <c r="C89" t="s">
        <v>16</v>
      </c>
      <c r="D89" t="s">
        <v>144</v>
      </c>
      <c r="E89" t="s">
        <v>117</v>
      </c>
      <c r="F89" s="1" t="s">
        <v>200</v>
      </c>
      <c r="G89" t="s">
        <v>201</v>
      </c>
      <c r="H89">
        <v>0</v>
      </c>
      <c r="I89" s="2">
        <v>43727</v>
      </c>
      <c r="J89" s="2">
        <v>43830</v>
      </c>
      <c r="K89">
        <v>214021.9</v>
      </c>
    </row>
    <row r="90" spans="1:11" x14ac:dyDescent="0.25">
      <c r="A90" t="str">
        <f>"Z4C27570FE"</f>
        <v>Z4C27570FE</v>
      </c>
      <c r="B90" t="str">
        <f t="shared" si="1"/>
        <v>06363391001</v>
      </c>
      <c r="C90" t="s">
        <v>16</v>
      </c>
      <c r="D90" t="s">
        <v>202</v>
      </c>
      <c r="E90" t="s">
        <v>26</v>
      </c>
      <c r="F90" s="1" t="s">
        <v>203</v>
      </c>
      <c r="G90" t="s">
        <v>204</v>
      </c>
      <c r="H90">
        <v>196</v>
      </c>
      <c r="I90" s="2">
        <v>43528</v>
      </c>
      <c r="J90" s="2">
        <v>44259</v>
      </c>
      <c r="K90">
        <v>60</v>
      </c>
    </row>
    <row r="91" spans="1:11" x14ac:dyDescent="0.25">
      <c r="A91" t="str">
        <f>"Z6028DD711"</f>
        <v>Z6028DD711</v>
      </c>
      <c r="B91" t="str">
        <f t="shared" si="1"/>
        <v>06363391001</v>
      </c>
      <c r="C91" t="s">
        <v>16</v>
      </c>
      <c r="D91" t="s">
        <v>205</v>
      </c>
      <c r="E91" t="s">
        <v>117</v>
      </c>
      <c r="F91" s="1" t="s">
        <v>206</v>
      </c>
      <c r="G91" t="s">
        <v>207</v>
      </c>
      <c r="H91">
        <v>5000</v>
      </c>
      <c r="I91" s="2">
        <v>43649</v>
      </c>
      <c r="J91" s="2">
        <v>44014</v>
      </c>
      <c r="K91">
        <v>3238.91</v>
      </c>
    </row>
    <row r="92" spans="1:11" x14ac:dyDescent="0.25">
      <c r="A92" t="str">
        <f>"7776948C80"</f>
        <v>7776948C80</v>
      </c>
      <c r="B92" t="str">
        <f t="shared" si="1"/>
        <v>06363391001</v>
      </c>
      <c r="C92" t="s">
        <v>16</v>
      </c>
      <c r="D92" t="s">
        <v>208</v>
      </c>
      <c r="E92" t="s">
        <v>18</v>
      </c>
      <c r="F92" s="1" t="s">
        <v>101</v>
      </c>
      <c r="G92" t="s">
        <v>102</v>
      </c>
      <c r="H92">
        <v>10133.76</v>
      </c>
      <c r="I92" s="2">
        <v>43669</v>
      </c>
      <c r="J92" s="2">
        <v>45129</v>
      </c>
      <c r="K92">
        <v>6513.97</v>
      </c>
    </row>
    <row r="93" spans="1:11" x14ac:dyDescent="0.25">
      <c r="A93" t="str">
        <f>"77769416BB"</f>
        <v>77769416BB</v>
      </c>
      <c r="B93" t="str">
        <f t="shared" si="1"/>
        <v>06363391001</v>
      </c>
      <c r="C93" t="s">
        <v>16</v>
      </c>
      <c r="D93" t="s">
        <v>209</v>
      </c>
      <c r="E93" t="s">
        <v>18</v>
      </c>
      <c r="F93" s="1" t="s">
        <v>101</v>
      </c>
      <c r="G93" t="s">
        <v>102</v>
      </c>
      <c r="H93">
        <v>10368.48</v>
      </c>
      <c r="I93" s="2">
        <v>43627</v>
      </c>
      <c r="J93" s="2">
        <v>45087</v>
      </c>
      <c r="K93">
        <v>6447.9</v>
      </c>
    </row>
    <row r="94" spans="1:11" x14ac:dyDescent="0.25">
      <c r="A94" t="str">
        <f>"77769530A4"</f>
        <v>77769530A4</v>
      </c>
      <c r="B94" t="str">
        <f t="shared" si="1"/>
        <v>06363391001</v>
      </c>
      <c r="C94" t="s">
        <v>16</v>
      </c>
      <c r="D94" t="s">
        <v>210</v>
      </c>
      <c r="E94" t="s">
        <v>18</v>
      </c>
      <c r="F94" s="1" t="s">
        <v>101</v>
      </c>
      <c r="G94" t="s">
        <v>102</v>
      </c>
      <c r="H94">
        <v>10853.76</v>
      </c>
      <c r="I94" s="2">
        <v>43632</v>
      </c>
      <c r="J94" s="2">
        <v>45092</v>
      </c>
      <c r="K94">
        <v>6208.9</v>
      </c>
    </row>
    <row r="95" spans="1:11" x14ac:dyDescent="0.25">
      <c r="A95" t="str">
        <f>"77769584C3"</f>
        <v>77769584C3</v>
      </c>
      <c r="B95" t="str">
        <f t="shared" si="1"/>
        <v>06363391001</v>
      </c>
      <c r="C95" t="s">
        <v>16</v>
      </c>
      <c r="D95" t="s">
        <v>211</v>
      </c>
      <c r="E95" t="s">
        <v>18</v>
      </c>
      <c r="F95" s="1" t="s">
        <v>101</v>
      </c>
      <c r="G95" t="s">
        <v>102</v>
      </c>
      <c r="H95">
        <v>10853.76</v>
      </c>
      <c r="I95" s="2">
        <v>43627</v>
      </c>
      <c r="J95" s="2">
        <v>45087</v>
      </c>
      <c r="K95">
        <v>6137.12</v>
      </c>
    </row>
    <row r="96" spans="1:11" x14ac:dyDescent="0.25">
      <c r="A96" t="str">
        <f>"7776928BFF"</f>
        <v>7776928BFF</v>
      </c>
      <c r="B96" t="str">
        <f t="shared" si="1"/>
        <v>06363391001</v>
      </c>
      <c r="C96" t="s">
        <v>16</v>
      </c>
      <c r="D96" t="s">
        <v>212</v>
      </c>
      <c r="E96" t="s">
        <v>18</v>
      </c>
      <c r="F96" s="1" t="s">
        <v>101</v>
      </c>
      <c r="G96" t="s">
        <v>102</v>
      </c>
      <c r="H96">
        <v>11088.48</v>
      </c>
      <c r="I96" s="2">
        <v>43617</v>
      </c>
      <c r="J96" s="2">
        <v>45078</v>
      </c>
      <c r="K96">
        <v>6497.29</v>
      </c>
    </row>
    <row r="97" spans="1:11" x14ac:dyDescent="0.25">
      <c r="A97" t="str">
        <f>"7776943861"</f>
        <v>7776943861</v>
      </c>
      <c r="B97" t="str">
        <f t="shared" si="1"/>
        <v>06363391001</v>
      </c>
      <c r="C97" t="s">
        <v>16</v>
      </c>
      <c r="D97" t="s">
        <v>213</v>
      </c>
      <c r="E97" t="s">
        <v>18</v>
      </c>
      <c r="F97" s="1" t="s">
        <v>101</v>
      </c>
      <c r="G97" t="s">
        <v>102</v>
      </c>
      <c r="H97">
        <v>11088.48</v>
      </c>
      <c r="I97" s="2">
        <v>43624</v>
      </c>
      <c r="J97" s="2">
        <v>45084</v>
      </c>
      <c r="K97">
        <v>6796.54</v>
      </c>
    </row>
    <row r="98" spans="1:11" x14ac:dyDescent="0.25">
      <c r="A98" t="str">
        <f>"77769237E0"</f>
        <v>77769237E0</v>
      </c>
      <c r="B98" t="str">
        <f t="shared" si="1"/>
        <v>06363391001</v>
      </c>
      <c r="C98" t="s">
        <v>16</v>
      </c>
      <c r="D98" t="s">
        <v>214</v>
      </c>
      <c r="E98" t="s">
        <v>18</v>
      </c>
      <c r="F98" s="1" t="s">
        <v>101</v>
      </c>
      <c r="G98" t="s">
        <v>102</v>
      </c>
      <c r="H98">
        <v>11088.48</v>
      </c>
      <c r="I98" s="2">
        <v>43605</v>
      </c>
      <c r="J98" s="2">
        <v>45065</v>
      </c>
      <c r="K98">
        <v>6226.47</v>
      </c>
    </row>
    <row r="99" spans="1:11" x14ac:dyDescent="0.25">
      <c r="A99" t="str">
        <f>"8196381B90"</f>
        <v>8196381B90</v>
      </c>
      <c r="B99" t="str">
        <f t="shared" si="1"/>
        <v>06363391001</v>
      </c>
      <c r="C99" t="s">
        <v>16</v>
      </c>
      <c r="D99" t="s">
        <v>215</v>
      </c>
      <c r="E99" t="s">
        <v>18</v>
      </c>
      <c r="F99" s="1" t="s">
        <v>82</v>
      </c>
      <c r="G99" t="s">
        <v>83</v>
      </c>
      <c r="H99">
        <v>0</v>
      </c>
      <c r="I99" s="2">
        <v>43922</v>
      </c>
      <c r="J99" s="2">
        <v>44286</v>
      </c>
      <c r="K99">
        <v>136579.42000000001</v>
      </c>
    </row>
    <row r="100" spans="1:11" x14ac:dyDescent="0.25">
      <c r="A100" t="str">
        <f>"5773409FCF"</f>
        <v>5773409FCF</v>
      </c>
      <c r="B100" t="str">
        <f t="shared" si="1"/>
        <v>06363391001</v>
      </c>
      <c r="C100" t="s">
        <v>16</v>
      </c>
      <c r="D100" t="s">
        <v>216</v>
      </c>
      <c r="E100" t="s">
        <v>63</v>
      </c>
      <c r="F100" s="1" t="s">
        <v>217</v>
      </c>
      <c r="G100" s="1" t="s">
        <v>218</v>
      </c>
      <c r="H100">
        <v>1734007.92</v>
      </c>
      <c r="I100" s="2">
        <v>42145</v>
      </c>
      <c r="J100" s="2">
        <v>44012</v>
      </c>
      <c r="K100">
        <v>1060525.79</v>
      </c>
    </row>
    <row r="101" spans="1:11" x14ac:dyDescent="0.25">
      <c r="A101" t="str">
        <f>"82876343EE"</f>
        <v>82876343EE</v>
      </c>
      <c r="B101" t="str">
        <f t="shared" si="1"/>
        <v>06363391001</v>
      </c>
      <c r="C101" t="s">
        <v>16</v>
      </c>
      <c r="D101" t="s">
        <v>219</v>
      </c>
      <c r="E101" t="s">
        <v>18</v>
      </c>
      <c r="F101" s="1" t="s">
        <v>30</v>
      </c>
      <c r="G101" t="s">
        <v>31</v>
      </c>
      <c r="H101">
        <v>0</v>
      </c>
      <c r="I101" s="2">
        <v>44013</v>
      </c>
      <c r="J101" s="2">
        <v>44377</v>
      </c>
      <c r="K101">
        <v>23928.73</v>
      </c>
    </row>
    <row r="102" spans="1:11" x14ac:dyDescent="0.25">
      <c r="A102" t="str">
        <f>"5866045D75"</f>
        <v>5866045D75</v>
      </c>
      <c r="B102" t="str">
        <f t="shared" si="1"/>
        <v>06363391001</v>
      </c>
      <c r="C102" t="s">
        <v>16</v>
      </c>
      <c r="D102" t="s">
        <v>220</v>
      </c>
      <c r="E102" t="s">
        <v>63</v>
      </c>
      <c r="F102" s="1" t="s">
        <v>221</v>
      </c>
      <c r="G102" t="s">
        <v>222</v>
      </c>
      <c r="H102">
        <v>9660202.6699999999</v>
      </c>
      <c r="I102" s="2">
        <v>42789</v>
      </c>
      <c r="J102" s="2">
        <v>44592</v>
      </c>
      <c r="K102">
        <v>0</v>
      </c>
    </row>
    <row r="103" spans="1:11" x14ac:dyDescent="0.25">
      <c r="A103" t="str">
        <f>"Z9A2BEB5CB"</f>
        <v>Z9A2BEB5CB</v>
      </c>
      <c r="B103" t="str">
        <f t="shared" si="1"/>
        <v>06363391001</v>
      </c>
      <c r="C103" t="s">
        <v>16</v>
      </c>
      <c r="D103" t="s">
        <v>223</v>
      </c>
      <c r="E103" t="s">
        <v>56</v>
      </c>
      <c r="F103" s="1" t="s">
        <v>224</v>
      </c>
      <c r="G103" t="s">
        <v>225</v>
      </c>
      <c r="H103">
        <v>39969.68</v>
      </c>
      <c r="I103" s="2">
        <v>43965</v>
      </c>
      <c r="J103" s="2">
        <v>44694</v>
      </c>
      <c r="K103">
        <v>39080.76</v>
      </c>
    </row>
    <row r="104" spans="1:11" x14ac:dyDescent="0.25">
      <c r="A104" t="str">
        <f>"8094867F8E"</f>
        <v>8094867F8E</v>
      </c>
      <c r="B104" t="str">
        <f t="shared" si="1"/>
        <v>06363391001</v>
      </c>
      <c r="C104" t="s">
        <v>16</v>
      </c>
      <c r="D104" t="s">
        <v>226</v>
      </c>
      <c r="E104" t="s">
        <v>63</v>
      </c>
      <c r="F104" s="1" t="s">
        <v>227</v>
      </c>
      <c r="G104" t="s">
        <v>176</v>
      </c>
      <c r="H104">
        <v>512283</v>
      </c>
      <c r="I104" s="2">
        <v>43991</v>
      </c>
      <c r="J104" s="2">
        <v>44720</v>
      </c>
      <c r="K104">
        <v>351637.49</v>
      </c>
    </row>
    <row r="105" spans="1:11" x14ac:dyDescent="0.25">
      <c r="A105" t="str">
        <f>"83434386D8"</f>
        <v>83434386D8</v>
      </c>
      <c r="B105" t="str">
        <f t="shared" si="1"/>
        <v>06363391001</v>
      </c>
      <c r="C105" t="s">
        <v>16</v>
      </c>
      <c r="D105" t="s">
        <v>228</v>
      </c>
      <c r="E105" t="s">
        <v>56</v>
      </c>
      <c r="F105" s="1" t="s">
        <v>229</v>
      </c>
      <c r="G105" t="s">
        <v>230</v>
      </c>
      <c r="H105">
        <v>49563.9</v>
      </c>
      <c r="I105" s="2">
        <v>43948</v>
      </c>
      <c r="J105" s="2">
        <v>44677</v>
      </c>
      <c r="K105">
        <v>36610.36</v>
      </c>
    </row>
    <row r="106" spans="1:11" x14ac:dyDescent="0.25">
      <c r="A106" t="str">
        <f>"8343464C4B"</f>
        <v>8343464C4B</v>
      </c>
      <c r="B106" t="str">
        <f t="shared" si="1"/>
        <v>06363391001</v>
      </c>
      <c r="C106" t="s">
        <v>16</v>
      </c>
      <c r="D106" t="s">
        <v>228</v>
      </c>
      <c r="E106" t="s">
        <v>56</v>
      </c>
      <c r="F106" s="1" t="s">
        <v>229</v>
      </c>
      <c r="G106" t="s">
        <v>230</v>
      </c>
      <c r="H106">
        <v>49563.9</v>
      </c>
      <c r="I106" s="2">
        <v>43939</v>
      </c>
      <c r="J106" s="2">
        <v>44668</v>
      </c>
      <c r="K106">
        <v>36184.5</v>
      </c>
    </row>
    <row r="107" spans="1:11" x14ac:dyDescent="0.25">
      <c r="A107" t="str">
        <f>"78121684F9"</f>
        <v>78121684F9</v>
      </c>
      <c r="B107" t="str">
        <f t="shared" si="1"/>
        <v>06363391001</v>
      </c>
      <c r="C107" t="s">
        <v>16</v>
      </c>
      <c r="D107" t="s">
        <v>231</v>
      </c>
      <c r="E107" t="s">
        <v>56</v>
      </c>
      <c r="F107" s="1" t="s">
        <v>232</v>
      </c>
      <c r="G107" t="s">
        <v>233</v>
      </c>
      <c r="H107">
        <v>170842.46</v>
      </c>
      <c r="I107" s="2">
        <v>43641</v>
      </c>
      <c r="J107" s="2">
        <v>44316</v>
      </c>
      <c r="K107">
        <v>169744.34</v>
      </c>
    </row>
    <row r="108" spans="1:11" x14ac:dyDescent="0.25">
      <c r="A108" t="str">
        <f>"7812220FDF"</f>
        <v>7812220FDF</v>
      </c>
      <c r="B108" t="str">
        <f t="shared" si="1"/>
        <v>06363391001</v>
      </c>
      <c r="C108" t="s">
        <v>16</v>
      </c>
      <c r="D108" t="s">
        <v>234</v>
      </c>
      <c r="E108" t="s">
        <v>56</v>
      </c>
      <c r="F108" s="1" t="s">
        <v>235</v>
      </c>
      <c r="G108" t="s">
        <v>236</v>
      </c>
      <c r="H108">
        <v>54182.14</v>
      </c>
      <c r="I108" s="2">
        <v>43642</v>
      </c>
      <c r="J108" s="2">
        <v>44316</v>
      </c>
      <c r="K108">
        <v>43737.03</v>
      </c>
    </row>
    <row r="109" spans="1:11" x14ac:dyDescent="0.25">
      <c r="A109" t="str">
        <f>"7812234B6E"</f>
        <v>7812234B6E</v>
      </c>
      <c r="B109" t="str">
        <f t="shared" si="1"/>
        <v>06363391001</v>
      </c>
      <c r="C109" t="s">
        <v>16</v>
      </c>
      <c r="D109" t="s">
        <v>237</v>
      </c>
      <c r="E109" t="s">
        <v>56</v>
      </c>
      <c r="F109" s="1" t="s">
        <v>238</v>
      </c>
      <c r="G109" t="s">
        <v>239</v>
      </c>
      <c r="H109">
        <v>214422.07</v>
      </c>
      <c r="I109" s="2">
        <v>43642</v>
      </c>
      <c r="J109" s="2">
        <v>44316</v>
      </c>
      <c r="K109">
        <v>211907.18</v>
      </c>
    </row>
    <row r="110" spans="1:11" x14ac:dyDescent="0.25">
      <c r="A110" t="str">
        <f>"8332071281"</f>
        <v>8332071281</v>
      </c>
      <c r="B110" t="str">
        <f t="shared" si="1"/>
        <v>06363391001</v>
      </c>
      <c r="C110" t="s">
        <v>16</v>
      </c>
      <c r="D110" t="s">
        <v>240</v>
      </c>
      <c r="E110" t="s">
        <v>18</v>
      </c>
      <c r="F110" s="1" t="s">
        <v>82</v>
      </c>
      <c r="G110" t="s">
        <v>83</v>
      </c>
      <c r="H110">
        <v>0</v>
      </c>
      <c r="I110" s="2">
        <v>44044</v>
      </c>
      <c r="J110" s="2">
        <v>44530</v>
      </c>
      <c r="K110">
        <v>826871.71</v>
      </c>
    </row>
    <row r="111" spans="1:11" x14ac:dyDescent="0.25">
      <c r="A111" t="str">
        <f>"5110100BE9"</f>
        <v>5110100BE9</v>
      </c>
      <c r="B111" t="str">
        <f t="shared" si="1"/>
        <v>06363391001</v>
      </c>
      <c r="C111" t="s">
        <v>16</v>
      </c>
      <c r="D111" t="s">
        <v>241</v>
      </c>
      <c r="E111" t="s">
        <v>242</v>
      </c>
      <c r="F111" s="1" t="s">
        <v>243</v>
      </c>
      <c r="G111" s="1" t="s">
        <v>244</v>
      </c>
      <c r="H111">
        <v>12050000</v>
      </c>
      <c r="I111" s="2">
        <v>42125</v>
      </c>
      <c r="J111" s="2">
        <v>44377</v>
      </c>
      <c r="K111">
        <v>9825678.5899999999</v>
      </c>
    </row>
    <row r="112" spans="1:11" x14ac:dyDescent="0.25">
      <c r="A112" t="str">
        <f>"ZDB2D74B4B"</f>
        <v>ZDB2D74B4B</v>
      </c>
      <c r="B112" t="str">
        <f t="shared" si="1"/>
        <v>06363391001</v>
      </c>
      <c r="C112" t="s">
        <v>16</v>
      </c>
      <c r="D112" t="s">
        <v>245</v>
      </c>
      <c r="E112" t="s">
        <v>26</v>
      </c>
      <c r="F112" s="1" t="s">
        <v>246</v>
      </c>
      <c r="G112" t="s">
        <v>247</v>
      </c>
      <c r="H112">
        <v>750</v>
      </c>
      <c r="I112" s="2">
        <v>44015</v>
      </c>
      <c r="J112" s="2">
        <v>44022</v>
      </c>
      <c r="K112">
        <v>0</v>
      </c>
    </row>
    <row r="113" spans="1:11" x14ac:dyDescent="0.25">
      <c r="A113" t="str">
        <f>"8226687CDD"</f>
        <v>8226687CDD</v>
      </c>
      <c r="B113" t="str">
        <f t="shared" si="1"/>
        <v>06363391001</v>
      </c>
      <c r="C113" t="s">
        <v>16</v>
      </c>
      <c r="D113" t="s">
        <v>248</v>
      </c>
      <c r="E113" t="s">
        <v>18</v>
      </c>
      <c r="F113" s="1" t="s">
        <v>52</v>
      </c>
      <c r="G113" t="s">
        <v>53</v>
      </c>
      <c r="H113">
        <v>8200</v>
      </c>
      <c r="I113" s="2">
        <v>43944</v>
      </c>
      <c r="J113" s="2">
        <v>45404</v>
      </c>
      <c r="K113">
        <v>2952.6</v>
      </c>
    </row>
    <row r="114" spans="1:11" x14ac:dyDescent="0.25">
      <c r="A114" t="str">
        <f>"Z702D9E3A5"</f>
        <v>Z702D9E3A5</v>
      </c>
      <c r="B114" t="str">
        <f t="shared" si="1"/>
        <v>06363391001</v>
      </c>
      <c r="C114" t="s">
        <v>16</v>
      </c>
      <c r="D114" t="s">
        <v>249</v>
      </c>
      <c r="E114" t="s">
        <v>26</v>
      </c>
      <c r="F114" s="1" t="s">
        <v>250</v>
      </c>
      <c r="G114" t="s">
        <v>251</v>
      </c>
      <c r="H114">
        <v>3000</v>
      </c>
      <c r="I114" s="2">
        <v>44025</v>
      </c>
      <c r="J114" s="2">
        <v>45119</v>
      </c>
      <c r="K114">
        <v>581.76</v>
      </c>
    </row>
    <row r="115" spans="1:11" x14ac:dyDescent="0.25">
      <c r="A115" t="str">
        <f>"8149849C24"</f>
        <v>8149849C24</v>
      </c>
      <c r="B115" t="str">
        <f t="shared" si="1"/>
        <v>06363391001</v>
      </c>
      <c r="C115" t="s">
        <v>16</v>
      </c>
      <c r="D115" t="s">
        <v>252</v>
      </c>
      <c r="E115" t="s">
        <v>56</v>
      </c>
      <c r="F115" s="1" t="s">
        <v>253</v>
      </c>
      <c r="G115" t="s">
        <v>254</v>
      </c>
      <c r="H115">
        <v>150000</v>
      </c>
      <c r="I115" s="2">
        <v>43983</v>
      </c>
      <c r="J115" s="2">
        <v>44712</v>
      </c>
      <c r="K115">
        <v>10696.68</v>
      </c>
    </row>
    <row r="116" spans="1:11" x14ac:dyDescent="0.25">
      <c r="A116" t="str">
        <f>"ZDC2DBEEE9"</f>
        <v>ZDC2DBEEE9</v>
      </c>
      <c r="B116" t="str">
        <f t="shared" si="1"/>
        <v>06363391001</v>
      </c>
      <c r="C116" t="s">
        <v>16</v>
      </c>
      <c r="D116" t="s">
        <v>255</v>
      </c>
      <c r="E116" t="s">
        <v>26</v>
      </c>
      <c r="F116" s="1" t="s">
        <v>256</v>
      </c>
      <c r="G116" t="s">
        <v>204</v>
      </c>
      <c r="H116">
        <v>1000</v>
      </c>
      <c r="I116" s="2">
        <v>44035</v>
      </c>
      <c r="J116" s="2">
        <v>44764</v>
      </c>
      <c r="K116">
        <v>455.5</v>
      </c>
    </row>
    <row r="117" spans="1:11" x14ac:dyDescent="0.25">
      <c r="A117" t="str">
        <f>"5866034464"</f>
        <v>5866034464</v>
      </c>
      <c r="B117" t="str">
        <f t="shared" si="1"/>
        <v>06363391001</v>
      </c>
      <c r="C117" t="s">
        <v>16</v>
      </c>
      <c r="D117" t="s">
        <v>257</v>
      </c>
      <c r="E117" t="s">
        <v>63</v>
      </c>
      <c r="F117" s="1" t="s">
        <v>258</v>
      </c>
      <c r="G117" t="s">
        <v>259</v>
      </c>
      <c r="H117">
        <v>7210196.2599999998</v>
      </c>
      <c r="I117" s="2">
        <v>42515</v>
      </c>
      <c r="J117" s="2">
        <v>44592</v>
      </c>
      <c r="K117">
        <v>0</v>
      </c>
    </row>
    <row r="118" spans="1:11" x14ac:dyDescent="0.25">
      <c r="A118" t="str">
        <f>"58660387B0"</f>
        <v>58660387B0</v>
      </c>
      <c r="B118" t="str">
        <f t="shared" si="1"/>
        <v>06363391001</v>
      </c>
      <c r="C118" t="s">
        <v>16</v>
      </c>
      <c r="D118" t="s">
        <v>260</v>
      </c>
      <c r="E118" t="s">
        <v>63</v>
      </c>
      <c r="F118" s="1" t="s">
        <v>261</v>
      </c>
      <c r="G118" s="1" t="s">
        <v>262</v>
      </c>
      <c r="H118">
        <v>12971116.300000001</v>
      </c>
      <c r="I118" s="2">
        <v>42474</v>
      </c>
      <c r="J118" s="2">
        <v>44592</v>
      </c>
      <c r="K118">
        <v>0</v>
      </c>
    </row>
    <row r="119" spans="1:11" x14ac:dyDescent="0.25">
      <c r="A119" t="str">
        <f>"5866041A29"</f>
        <v>5866041A29</v>
      </c>
      <c r="B119" t="str">
        <f t="shared" si="1"/>
        <v>06363391001</v>
      </c>
      <c r="C119" t="s">
        <v>16</v>
      </c>
      <c r="D119" t="s">
        <v>263</v>
      </c>
      <c r="E119" t="s">
        <v>63</v>
      </c>
      <c r="F119" s="1" t="s">
        <v>264</v>
      </c>
      <c r="G119" t="s">
        <v>265</v>
      </c>
      <c r="H119">
        <v>9992805.7899999991</v>
      </c>
      <c r="I119" s="2">
        <v>42467</v>
      </c>
      <c r="J119" s="2">
        <v>44592</v>
      </c>
      <c r="K119">
        <v>0</v>
      </c>
    </row>
    <row r="120" spans="1:11" x14ac:dyDescent="0.25">
      <c r="A120" t="str">
        <f>"5866048FEE"</f>
        <v>5866048FEE</v>
      </c>
      <c r="B120" t="str">
        <f t="shared" si="1"/>
        <v>06363391001</v>
      </c>
      <c r="C120" t="s">
        <v>16</v>
      </c>
      <c r="D120" t="s">
        <v>266</v>
      </c>
      <c r="E120" t="s">
        <v>63</v>
      </c>
      <c r="F120" s="1" t="s">
        <v>267</v>
      </c>
      <c r="G120" t="s">
        <v>265</v>
      </c>
      <c r="H120">
        <v>7383612.4500000002</v>
      </c>
      <c r="I120" s="2">
        <v>42444</v>
      </c>
      <c r="J120" s="2">
        <v>44592</v>
      </c>
      <c r="K120">
        <v>0</v>
      </c>
    </row>
    <row r="121" spans="1:11" x14ac:dyDescent="0.25">
      <c r="A121" t="str">
        <f>"5866079985"</f>
        <v>5866079985</v>
      </c>
      <c r="B121" t="str">
        <f t="shared" si="1"/>
        <v>06363391001</v>
      </c>
      <c r="C121" t="s">
        <v>16</v>
      </c>
      <c r="D121" t="s">
        <v>268</v>
      </c>
      <c r="E121" t="s">
        <v>63</v>
      </c>
      <c r="F121" s="1" t="s">
        <v>269</v>
      </c>
      <c r="G121" t="s">
        <v>265</v>
      </c>
      <c r="H121">
        <v>12676372.68</v>
      </c>
      <c r="I121" s="2">
        <v>42444</v>
      </c>
      <c r="J121" s="2">
        <v>44592</v>
      </c>
      <c r="K121">
        <v>2224902.4700000002</v>
      </c>
    </row>
    <row r="122" spans="1:11" x14ac:dyDescent="0.25">
      <c r="A122" t="str">
        <f>"586605126C"</f>
        <v>586605126C</v>
      </c>
      <c r="B122" t="str">
        <f t="shared" si="1"/>
        <v>06363391001</v>
      </c>
      <c r="C122" t="s">
        <v>16</v>
      </c>
      <c r="D122" t="s">
        <v>270</v>
      </c>
      <c r="E122" t="s">
        <v>63</v>
      </c>
      <c r="F122" s="1" t="s">
        <v>271</v>
      </c>
      <c r="G122" s="1" t="s">
        <v>272</v>
      </c>
      <c r="H122">
        <v>4043897.43</v>
      </c>
      <c r="I122" s="2">
        <v>42479</v>
      </c>
      <c r="J122" s="2">
        <v>44592</v>
      </c>
      <c r="K122">
        <v>0</v>
      </c>
    </row>
    <row r="123" spans="1:11" x14ac:dyDescent="0.25">
      <c r="A123" t="str">
        <f>"5866080A58"</f>
        <v>5866080A58</v>
      </c>
      <c r="B123" t="str">
        <f t="shared" si="1"/>
        <v>06363391001</v>
      </c>
      <c r="C123" t="s">
        <v>16</v>
      </c>
      <c r="D123" t="s">
        <v>273</v>
      </c>
      <c r="E123" t="s">
        <v>63</v>
      </c>
      <c r="F123" s="1" t="s">
        <v>274</v>
      </c>
      <c r="G123" t="s">
        <v>222</v>
      </c>
      <c r="H123">
        <v>6390264.1799999997</v>
      </c>
      <c r="I123" s="2">
        <v>42844</v>
      </c>
      <c r="J123" s="2">
        <v>44592</v>
      </c>
      <c r="K123">
        <v>0</v>
      </c>
    </row>
    <row r="124" spans="1:11" x14ac:dyDescent="0.25">
      <c r="A124" t="str">
        <f>"5866085E77"</f>
        <v>5866085E77</v>
      </c>
      <c r="B124" t="str">
        <f t="shared" si="1"/>
        <v>06363391001</v>
      </c>
      <c r="C124" t="s">
        <v>16</v>
      </c>
      <c r="D124" t="s">
        <v>275</v>
      </c>
      <c r="E124" t="s">
        <v>63</v>
      </c>
      <c r="F124" s="1" t="s">
        <v>276</v>
      </c>
      <c r="G124" s="1" t="s">
        <v>277</v>
      </c>
      <c r="H124">
        <v>5346381.22</v>
      </c>
      <c r="I124" s="2">
        <v>42391</v>
      </c>
      <c r="J124" s="2">
        <v>44592</v>
      </c>
      <c r="K124">
        <v>5110165.28</v>
      </c>
    </row>
    <row r="125" spans="1:11" x14ac:dyDescent="0.25">
      <c r="A125" t="str">
        <f>"586609029B"</f>
        <v>586609029B</v>
      </c>
      <c r="B125" t="str">
        <f t="shared" si="1"/>
        <v>06363391001</v>
      </c>
      <c r="C125" t="s">
        <v>16</v>
      </c>
      <c r="D125" t="s">
        <v>278</v>
      </c>
      <c r="E125" t="s">
        <v>63</v>
      </c>
      <c r="F125" s="1" t="s">
        <v>279</v>
      </c>
      <c r="G125" s="1" t="s">
        <v>280</v>
      </c>
      <c r="H125">
        <v>7849296.5800000001</v>
      </c>
      <c r="I125" s="2">
        <v>42474</v>
      </c>
      <c r="J125" s="2">
        <v>44592</v>
      </c>
      <c r="K125">
        <v>0</v>
      </c>
    </row>
    <row r="126" spans="1:11" x14ac:dyDescent="0.25">
      <c r="A126" t="str">
        <f>"5866080A58"</f>
        <v>5866080A58</v>
      </c>
      <c r="B126" t="str">
        <f t="shared" si="1"/>
        <v>06363391001</v>
      </c>
      <c r="C126" t="s">
        <v>16</v>
      </c>
      <c r="D126" t="s">
        <v>281</v>
      </c>
      <c r="E126" t="s">
        <v>63</v>
      </c>
      <c r="F126" s="1" t="s">
        <v>282</v>
      </c>
      <c r="G126" s="1" t="s">
        <v>277</v>
      </c>
      <c r="H126">
        <v>2227724.88</v>
      </c>
      <c r="I126" s="2">
        <v>42454</v>
      </c>
      <c r="J126" s="2">
        <v>44592</v>
      </c>
      <c r="K126">
        <v>0</v>
      </c>
    </row>
    <row r="127" spans="1:11" x14ac:dyDescent="0.25">
      <c r="A127" t="str">
        <f>"6938836C99"</f>
        <v>6938836C99</v>
      </c>
      <c r="B127" t="str">
        <f t="shared" si="1"/>
        <v>06363391001</v>
      </c>
      <c r="C127" t="s">
        <v>16</v>
      </c>
      <c r="D127" t="s">
        <v>283</v>
      </c>
      <c r="E127" t="s">
        <v>56</v>
      </c>
      <c r="F127" s="1" t="s">
        <v>284</v>
      </c>
      <c r="G127" t="s">
        <v>285</v>
      </c>
      <c r="H127">
        <v>200000</v>
      </c>
      <c r="I127" s="2">
        <v>42761</v>
      </c>
      <c r="J127" s="2">
        <v>44165</v>
      </c>
      <c r="K127">
        <v>192343.55</v>
      </c>
    </row>
    <row r="128" spans="1:11" x14ac:dyDescent="0.25">
      <c r="A128" t="str">
        <f>"ZC62C92B8C"</f>
        <v>ZC62C92B8C</v>
      </c>
      <c r="B128" t="str">
        <f t="shared" si="1"/>
        <v>06363391001</v>
      </c>
      <c r="C128" t="s">
        <v>16</v>
      </c>
      <c r="D128" t="s">
        <v>286</v>
      </c>
      <c r="E128" t="s">
        <v>26</v>
      </c>
      <c r="F128" s="1" t="s">
        <v>287</v>
      </c>
      <c r="G128" t="s">
        <v>288</v>
      </c>
      <c r="H128">
        <v>5000</v>
      </c>
      <c r="I128" s="2">
        <v>43922</v>
      </c>
      <c r="J128" s="2">
        <v>44347</v>
      </c>
      <c r="K128">
        <v>3208</v>
      </c>
    </row>
    <row r="129" spans="1:11" x14ac:dyDescent="0.25">
      <c r="A129" t="str">
        <f>"ZCE2C92BBE"</f>
        <v>ZCE2C92BBE</v>
      </c>
      <c r="B129" t="str">
        <f t="shared" si="1"/>
        <v>06363391001</v>
      </c>
      <c r="C129" t="s">
        <v>16</v>
      </c>
      <c r="D129" t="s">
        <v>289</v>
      </c>
      <c r="E129" t="s">
        <v>26</v>
      </c>
      <c r="F129" s="1" t="s">
        <v>290</v>
      </c>
      <c r="G129" t="s">
        <v>291</v>
      </c>
      <c r="H129">
        <v>5000</v>
      </c>
      <c r="I129" s="2">
        <v>43922</v>
      </c>
      <c r="J129" s="2">
        <v>44347</v>
      </c>
      <c r="K129">
        <v>650</v>
      </c>
    </row>
    <row r="130" spans="1:11" x14ac:dyDescent="0.25">
      <c r="A130" t="str">
        <f>"Z852C92BAD"</f>
        <v>Z852C92BAD</v>
      </c>
      <c r="B130" t="str">
        <f t="shared" si="1"/>
        <v>06363391001</v>
      </c>
      <c r="C130" t="s">
        <v>16</v>
      </c>
      <c r="D130" t="s">
        <v>292</v>
      </c>
      <c r="E130" t="s">
        <v>26</v>
      </c>
      <c r="F130" s="1" t="s">
        <v>293</v>
      </c>
      <c r="G130" t="s">
        <v>294</v>
      </c>
      <c r="H130">
        <v>5000</v>
      </c>
      <c r="I130" s="2">
        <v>43922</v>
      </c>
      <c r="J130" s="2">
        <v>44347</v>
      </c>
      <c r="K130">
        <v>2060</v>
      </c>
    </row>
    <row r="131" spans="1:11" x14ac:dyDescent="0.25">
      <c r="A131" t="str">
        <f>"526938955C"</f>
        <v>526938955C</v>
      </c>
      <c r="B131" t="str">
        <f t="shared" ref="B131:B194" si="2">"06363391001"</f>
        <v>06363391001</v>
      </c>
      <c r="C131" t="s">
        <v>16</v>
      </c>
      <c r="D131" t="s">
        <v>295</v>
      </c>
      <c r="E131" t="s">
        <v>63</v>
      </c>
      <c r="F131" s="1" t="s">
        <v>296</v>
      </c>
      <c r="G131" t="s">
        <v>285</v>
      </c>
      <c r="H131">
        <v>90651082.349999994</v>
      </c>
      <c r="I131" s="2">
        <v>42579</v>
      </c>
      <c r="J131" s="2">
        <v>44496</v>
      </c>
      <c r="K131">
        <v>31492414.620000001</v>
      </c>
    </row>
    <row r="132" spans="1:11" x14ac:dyDescent="0.25">
      <c r="A132" t="str">
        <f>"526939497B"</f>
        <v>526939497B</v>
      </c>
      <c r="B132" t="str">
        <f t="shared" si="2"/>
        <v>06363391001</v>
      </c>
      <c r="C132" t="s">
        <v>16</v>
      </c>
      <c r="D132" t="s">
        <v>297</v>
      </c>
      <c r="E132" t="s">
        <v>63</v>
      </c>
      <c r="F132" s="1" t="s">
        <v>298</v>
      </c>
      <c r="G132" t="s">
        <v>285</v>
      </c>
      <c r="H132">
        <v>58683848.539999999</v>
      </c>
      <c r="I132" s="2">
        <v>42579</v>
      </c>
      <c r="J132" s="2">
        <v>44496</v>
      </c>
      <c r="K132">
        <v>21636329.940000001</v>
      </c>
    </row>
    <row r="133" spans="1:11" x14ac:dyDescent="0.25">
      <c r="A133" t="str">
        <f>"5269398CC7"</f>
        <v>5269398CC7</v>
      </c>
      <c r="B133" t="str">
        <f t="shared" si="2"/>
        <v>06363391001</v>
      </c>
      <c r="C133" t="s">
        <v>16</v>
      </c>
      <c r="D133" t="s">
        <v>299</v>
      </c>
      <c r="E133" t="s">
        <v>63</v>
      </c>
      <c r="F133" s="1" t="s">
        <v>300</v>
      </c>
      <c r="G133" s="1" t="s">
        <v>301</v>
      </c>
      <c r="H133">
        <v>101667468</v>
      </c>
      <c r="I133" s="2">
        <v>42677</v>
      </c>
      <c r="J133" s="2">
        <v>44496</v>
      </c>
      <c r="K133">
        <v>33101186</v>
      </c>
    </row>
    <row r="134" spans="1:11" x14ac:dyDescent="0.25">
      <c r="A134" t="str">
        <f>"666110019D"</f>
        <v>666110019D</v>
      </c>
      <c r="B134" t="str">
        <f t="shared" si="2"/>
        <v>06363391001</v>
      </c>
      <c r="C134" t="s">
        <v>16</v>
      </c>
      <c r="D134" t="s">
        <v>302</v>
      </c>
      <c r="E134" t="s">
        <v>63</v>
      </c>
      <c r="F134" s="1" t="s">
        <v>303</v>
      </c>
      <c r="G134" t="s">
        <v>304</v>
      </c>
      <c r="H134">
        <v>197515.8</v>
      </c>
      <c r="I134" s="2">
        <v>42773</v>
      </c>
      <c r="J134" s="2">
        <v>44233</v>
      </c>
      <c r="K134">
        <v>172772.59</v>
      </c>
    </row>
    <row r="135" spans="1:11" x14ac:dyDescent="0.25">
      <c r="A135" t="str">
        <f>"7438918554"</f>
        <v>7438918554</v>
      </c>
      <c r="B135" t="str">
        <f t="shared" si="2"/>
        <v>06363391001</v>
      </c>
      <c r="C135" t="s">
        <v>16</v>
      </c>
      <c r="D135" t="s">
        <v>305</v>
      </c>
      <c r="E135" t="s">
        <v>56</v>
      </c>
      <c r="F135" s="1" t="s">
        <v>306</v>
      </c>
      <c r="G135" t="s">
        <v>307</v>
      </c>
      <c r="H135">
        <v>78159.600000000006</v>
      </c>
      <c r="I135" s="2">
        <v>43311</v>
      </c>
      <c r="J135" s="2">
        <v>44316</v>
      </c>
      <c r="K135">
        <v>74417.53</v>
      </c>
    </row>
    <row r="136" spans="1:11" x14ac:dyDescent="0.25">
      <c r="A136" t="str">
        <f>"ZC02DCA2A2"</f>
        <v>ZC02DCA2A2</v>
      </c>
      <c r="B136" t="str">
        <f t="shared" si="2"/>
        <v>06363391001</v>
      </c>
      <c r="C136" t="s">
        <v>16</v>
      </c>
      <c r="D136" t="s">
        <v>308</v>
      </c>
      <c r="E136" t="s">
        <v>26</v>
      </c>
      <c r="F136" s="1" t="s">
        <v>309</v>
      </c>
      <c r="G136" t="s">
        <v>310</v>
      </c>
      <c r="H136">
        <v>5000</v>
      </c>
      <c r="I136" s="2">
        <v>44039</v>
      </c>
      <c r="J136" s="2">
        <v>44403</v>
      </c>
      <c r="K136">
        <v>2431</v>
      </c>
    </row>
    <row r="137" spans="1:11" x14ac:dyDescent="0.25">
      <c r="A137" t="str">
        <f>"8199740F7E"</f>
        <v>8199740F7E</v>
      </c>
      <c r="B137" t="str">
        <f t="shared" si="2"/>
        <v>06363391001</v>
      </c>
      <c r="C137" t="s">
        <v>16</v>
      </c>
      <c r="D137" t="s">
        <v>311</v>
      </c>
      <c r="E137" t="s">
        <v>18</v>
      </c>
      <c r="F137" s="1" t="s">
        <v>101</v>
      </c>
      <c r="G137" t="s">
        <v>102</v>
      </c>
      <c r="H137">
        <v>14304</v>
      </c>
      <c r="I137" s="2">
        <v>43949</v>
      </c>
      <c r="J137" s="2">
        <v>45410</v>
      </c>
      <c r="K137">
        <v>5483.24</v>
      </c>
    </row>
    <row r="138" spans="1:11" x14ac:dyDescent="0.25">
      <c r="A138" t="str">
        <f>"ZAF2DC5C5C"</f>
        <v>ZAF2DC5C5C</v>
      </c>
      <c r="B138" t="str">
        <f t="shared" si="2"/>
        <v>06363391001</v>
      </c>
      <c r="C138" t="s">
        <v>16</v>
      </c>
      <c r="D138" t="s">
        <v>312</v>
      </c>
      <c r="E138" t="s">
        <v>26</v>
      </c>
      <c r="F138" s="1" t="s">
        <v>313</v>
      </c>
      <c r="G138" t="s">
        <v>76</v>
      </c>
      <c r="H138">
        <v>4500</v>
      </c>
      <c r="I138" s="2">
        <v>44074</v>
      </c>
      <c r="J138" s="2">
        <v>44438</v>
      </c>
      <c r="K138">
        <v>4393</v>
      </c>
    </row>
    <row r="139" spans="1:11" x14ac:dyDescent="0.25">
      <c r="A139" t="str">
        <f>"62503732F8"</f>
        <v>62503732F8</v>
      </c>
      <c r="B139" t="str">
        <f t="shared" si="2"/>
        <v>06363391001</v>
      </c>
      <c r="C139" t="s">
        <v>16</v>
      </c>
      <c r="D139" t="s">
        <v>314</v>
      </c>
      <c r="E139" t="s">
        <v>63</v>
      </c>
      <c r="F139" s="1" t="s">
        <v>315</v>
      </c>
      <c r="G139" t="s">
        <v>316</v>
      </c>
      <c r="H139">
        <v>0</v>
      </c>
      <c r="I139" s="2">
        <v>42790</v>
      </c>
      <c r="J139" s="2">
        <v>44250</v>
      </c>
      <c r="K139">
        <v>0</v>
      </c>
    </row>
    <row r="140" spans="1:11" x14ac:dyDescent="0.25">
      <c r="A140" t="str">
        <f>"5269382F92"</f>
        <v>5269382F92</v>
      </c>
      <c r="B140" t="str">
        <f t="shared" si="2"/>
        <v>06363391001</v>
      </c>
      <c r="C140" t="s">
        <v>16</v>
      </c>
      <c r="D140" t="s">
        <v>317</v>
      </c>
      <c r="E140" t="s">
        <v>63</v>
      </c>
      <c r="F140" s="1" t="s">
        <v>318</v>
      </c>
      <c r="G140" t="s">
        <v>176</v>
      </c>
      <c r="H140">
        <v>10104350.1</v>
      </c>
      <c r="I140" s="2">
        <v>42549</v>
      </c>
      <c r="J140" s="2">
        <v>44377</v>
      </c>
      <c r="K140">
        <v>1908645.92</v>
      </c>
    </row>
    <row r="141" spans="1:11" x14ac:dyDescent="0.25">
      <c r="A141" t="str">
        <f>"8351663A53"</f>
        <v>8351663A53</v>
      </c>
      <c r="B141" t="str">
        <f t="shared" si="2"/>
        <v>06363391001</v>
      </c>
      <c r="C141" t="s">
        <v>16</v>
      </c>
      <c r="D141" t="s">
        <v>319</v>
      </c>
      <c r="E141" t="s">
        <v>18</v>
      </c>
      <c r="F141" s="1" t="s">
        <v>320</v>
      </c>
      <c r="G141" t="s">
        <v>321</v>
      </c>
      <c r="H141">
        <v>832606.33</v>
      </c>
      <c r="I141" s="2">
        <v>44013</v>
      </c>
      <c r="J141" s="2">
        <v>44377</v>
      </c>
      <c r="K141">
        <v>821914.95</v>
      </c>
    </row>
    <row r="142" spans="1:11" x14ac:dyDescent="0.25">
      <c r="A142" t="str">
        <f>"5110108286"</f>
        <v>5110108286</v>
      </c>
      <c r="B142" t="str">
        <f t="shared" si="2"/>
        <v>06363391001</v>
      </c>
      <c r="C142" t="s">
        <v>16</v>
      </c>
      <c r="D142" t="s">
        <v>322</v>
      </c>
      <c r="E142" t="s">
        <v>242</v>
      </c>
      <c r="F142" s="1" t="s">
        <v>323</v>
      </c>
      <c r="G142" s="1" t="s">
        <v>324</v>
      </c>
      <c r="H142">
        <v>3633333</v>
      </c>
      <c r="I142" s="2">
        <v>41913</v>
      </c>
      <c r="J142" s="2">
        <v>44377</v>
      </c>
      <c r="K142">
        <v>2820735.18</v>
      </c>
    </row>
    <row r="143" spans="1:11" x14ac:dyDescent="0.25">
      <c r="A143" t="str">
        <f>"Z462E331A6"</f>
        <v>Z462E331A6</v>
      </c>
      <c r="B143" t="str">
        <f t="shared" si="2"/>
        <v>06363391001</v>
      </c>
      <c r="C143" t="s">
        <v>16</v>
      </c>
      <c r="D143" t="s">
        <v>325</v>
      </c>
      <c r="E143" t="s">
        <v>26</v>
      </c>
      <c r="F143" s="1" t="s">
        <v>19</v>
      </c>
      <c r="G143" t="s">
        <v>20</v>
      </c>
      <c r="H143">
        <v>39680</v>
      </c>
      <c r="I143" s="2">
        <v>44084</v>
      </c>
      <c r="J143" s="2">
        <v>44130</v>
      </c>
      <c r="K143">
        <v>39481.599999999999</v>
      </c>
    </row>
    <row r="144" spans="1:11" x14ac:dyDescent="0.25">
      <c r="A144" t="str">
        <f>"7812245484"</f>
        <v>7812245484</v>
      </c>
      <c r="B144" t="str">
        <f t="shared" si="2"/>
        <v>06363391001</v>
      </c>
      <c r="C144" t="s">
        <v>16</v>
      </c>
      <c r="D144" t="s">
        <v>326</v>
      </c>
      <c r="E144" t="s">
        <v>56</v>
      </c>
      <c r="F144" s="1" t="s">
        <v>327</v>
      </c>
      <c r="G144" t="s">
        <v>328</v>
      </c>
      <c r="H144">
        <v>204376.11</v>
      </c>
      <c r="I144" s="2">
        <v>43613</v>
      </c>
      <c r="J144" s="2">
        <v>44316</v>
      </c>
      <c r="K144">
        <v>199335.91</v>
      </c>
    </row>
    <row r="145" spans="1:11" x14ac:dyDescent="0.25">
      <c r="A145" t="str">
        <f>"8073654E09"</f>
        <v>8073654E09</v>
      </c>
      <c r="B145" t="str">
        <f t="shared" si="2"/>
        <v>06363391001</v>
      </c>
      <c r="C145" t="s">
        <v>16</v>
      </c>
      <c r="D145" t="s">
        <v>329</v>
      </c>
      <c r="E145" t="s">
        <v>63</v>
      </c>
      <c r="F145" s="1" t="s">
        <v>330</v>
      </c>
      <c r="G145" t="s">
        <v>331</v>
      </c>
      <c r="H145">
        <v>1800200</v>
      </c>
      <c r="I145" s="2">
        <v>44040</v>
      </c>
      <c r="J145" s="2">
        <v>45134</v>
      </c>
      <c r="K145">
        <v>89476.95</v>
      </c>
    </row>
    <row r="146" spans="1:11" x14ac:dyDescent="0.25">
      <c r="A146" t="str">
        <f>"8116812D25"</f>
        <v>8116812D25</v>
      </c>
      <c r="B146" t="str">
        <f t="shared" si="2"/>
        <v>06363391001</v>
      </c>
      <c r="C146" t="s">
        <v>16</v>
      </c>
      <c r="D146" t="s">
        <v>332</v>
      </c>
      <c r="E146" t="s">
        <v>63</v>
      </c>
      <c r="F146" s="1" t="s">
        <v>333</v>
      </c>
      <c r="G146" t="s">
        <v>334</v>
      </c>
      <c r="H146">
        <v>1086134.6599999999</v>
      </c>
      <c r="I146" s="2">
        <v>44084</v>
      </c>
      <c r="J146" s="2">
        <v>44813</v>
      </c>
      <c r="K146">
        <v>251318.62</v>
      </c>
    </row>
    <row r="147" spans="1:11" x14ac:dyDescent="0.25">
      <c r="A147" t="str">
        <f>"ZA92CE2243"</f>
        <v>ZA92CE2243</v>
      </c>
      <c r="B147" t="str">
        <f t="shared" si="2"/>
        <v>06363391001</v>
      </c>
      <c r="C147" t="s">
        <v>16</v>
      </c>
      <c r="D147" t="s">
        <v>335</v>
      </c>
      <c r="E147" t="s">
        <v>56</v>
      </c>
      <c r="F147" s="1" t="s">
        <v>336</v>
      </c>
      <c r="G147" t="s">
        <v>337</v>
      </c>
      <c r="H147">
        <v>15977.45</v>
      </c>
      <c r="I147" s="2">
        <v>44091</v>
      </c>
      <c r="J147" s="2">
        <v>44120</v>
      </c>
      <c r="K147">
        <v>15977.45</v>
      </c>
    </row>
    <row r="148" spans="1:11" x14ac:dyDescent="0.25">
      <c r="A148" t="str">
        <f>"839209932D"</f>
        <v>839209932D</v>
      </c>
      <c r="B148" t="str">
        <f t="shared" si="2"/>
        <v>06363391001</v>
      </c>
      <c r="C148" t="s">
        <v>16</v>
      </c>
      <c r="D148" t="s">
        <v>338</v>
      </c>
      <c r="E148" t="s">
        <v>56</v>
      </c>
      <c r="F148" s="1" t="s">
        <v>339</v>
      </c>
      <c r="G148" t="s">
        <v>340</v>
      </c>
      <c r="H148">
        <v>3375000</v>
      </c>
      <c r="I148" s="2">
        <v>44047</v>
      </c>
      <c r="J148" s="2">
        <v>45141</v>
      </c>
      <c r="K148">
        <v>1687500</v>
      </c>
    </row>
    <row r="149" spans="1:11" x14ac:dyDescent="0.25">
      <c r="A149" t="str">
        <f>"Z8A2E5D9CB"</f>
        <v>Z8A2E5D9CB</v>
      </c>
      <c r="B149" t="str">
        <f t="shared" si="2"/>
        <v>06363391001</v>
      </c>
      <c r="C149" t="s">
        <v>16</v>
      </c>
      <c r="D149" t="s">
        <v>341</v>
      </c>
      <c r="E149" t="s">
        <v>26</v>
      </c>
      <c r="F149" s="1" t="s">
        <v>342</v>
      </c>
      <c r="G149" t="s">
        <v>343</v>
      </c>
      <c r="H149">
        <v>1480</v>
      </c>
      <c r="I149" s="2">
        <v>44063</v>
      </c>
      <c r="J149" s="2">
        <v>44196</v>
      </c>
      <c r="K149">
        <v>1480</v>
      </c>
    </row>
    <row r="150" spans="1:11" x14ac:dyDescent="0.25">
      <c r="A150" t="str">
        <f>"Z272E5A88F"</f>
        <v>Z272E5A88F</v>
      </c>
      <c r="B150" t="str">
        <f t="shared" si="2"/>
        <v>06363391001</v>
      </c>
      <c r="C150" t="s">
        <v>16</v>
      </c>
      <c r="D150" t="s">
        <v>344</v>
      </c>
      <c r="E150" t="s">
        <v>26</v>
      </c>
      <c r="F150" s="1" t="s">
        <v>345</v>
      </c>
      <c r="G150" t="s">
        <v>346</v>
      </c>
      <c r="H150">
        <v>20286.080000000002</v>
      </c>
      <c r="I150" s="2">
        <v>44097</v>
      </c>
      <c r="J150" s="2">
        <v>44237</v>
      </c>
      <c r="K150">
        <v>18561.740000000002</v>
      </c>
    </row>
    <row r="151" spans="1:11" x14ac:dyDescent="0.25">
      <c r="A151" t="str">
        <f>"77769573F0"</f>
        <v>77769573F0</v>
      </c>
      <c r="B151" t="str">
        <f t="shared" si="2"/>
        <v>06363391001</v>
      </c>
      <c r="C151" t="s">
        <v>16</v>
      </c>
      <c r="D151" t="s">
        <v>347</v>
      </c>
      <c r="E151" t="s">
        <v>18</v>
      </c>
      <c r="F151" s="1" t="s">
        <v>101</v>
      </c>
      <c r="G151" t="s">
        <v>102</v>
      </c>
      <c r="H151">
        <v>10853.76</v>
      </c>
      <c r="I151" s="2">
        <v>43712</v>
      </c>
      <c r="J151" s="2">
        <v>45172</v>
      </c>
      <c r="K151">
        <v>6090.32</v>
      </c>
    </row>
    <row r="152" spans="1:11" x14ac:dyDescent="0.25">
      <c r="A152" t="str">
        <f>"8396084BB1"</f>
        <v>8396084BB1</v>
      </c>
      <c r="B152" t="str">
        <f t="shared" si="2"/>
        <v>06363391001</v>
      </c>
      <c r="C152" t="s">
        <v>16</v>
      </c>
      <c r="D152" t="s">
        <v>348</v>
      </c>
      <c r="E152" t="s">
        <v>56</v>
      </c>
      <c r="F152" s="1" t="s">
        <v>349</v>
      </c>
      <c r="G152" t="s">
        <v>350</v>
      </c>
      <c r="H152">
        <v>243764</v>
      </c>
      <c r="I152" s="2">
        <v>44112</v>
      </c>
      <c r="J152" s="2">
        <v>44942</v>
      </c>
      <c r="K152">
        <v>101591.25</v>
      </c>
    </row>
    <row r="153" spans="1:11" x14ac:dyDescent="0.25">
      <c r="A153" t="str">
        <f>"82564974DD"</f>
        <v>82564974DD</v>
      </c>
      <c r="B153" t="str">
        <f t="shared" si="2"/>
        <v>06363391001</v>
      </c>
      <c r="C153" t="s">
        <v>16</v>
      </c>
      <c r="D153" t="s">
        <v>351</v>
      </c>
      <c r="E153" t="s">
        <v>18</v>
      </c>
      <c r="F153" s="1" t="s">
        <v>101</v>
      </c>
      <c r="G153" t="s">
        <v>102</v>
      </c>
      <c r="H153">
        <v>13673.76</v>
      </c>
      <c r="I153" s="2">
        <v>44049</v>
      </c>
      <c r="J153" s="2">
        <v>45510</v>
      </c>
      <c r="K153">
        <v>4532.0200000000004</v>
      </c>
    </row>
    <row r="154" spans="1:11" x14ac:dyDescent="0.25">
      <c r="A154" t="str">
        <f>"82566291CC"</f>
        <v>82566291CC</v>
      </c>
      <c r="B154" t="str">
        <f t="shared" si="2"/>
        <v>06363391001</v>
      </c>
      <c r="C154" t="s">
        <v>16</v>
      </c>
      <c r="D154" t="s">
        <v>352</v>
      </c>
      <c r="E154" t="s">
        <v>18</v>
      </c>
      <c r="F154" s="1" t="s">
        <v>101</v>
      </c>
      <c r="G154" t="s">
        <v>102</v>
      </c>
      <c r="H154">
        <v>12953.76</v>
      </c>
      <c r="I154" s="2">
        <v>44069</v>
      </c>
      <c r="J154" s="2">
        <v>45529</v>
      </c>
      <c r="K154">
        <v>4114.58</v>
      </c>
    </row>
    <row r="155" spans="1:11" x14ac:dyDescent="0.25">
      <c r="A155" t="str">
        <f>"ZE92E938B8"</f>
        <v>ZE92E938B8</v>
      </c>
      <c r="B155" t="str">
        <f t="shared" si="2"/>
        <v>06363391001</v>
      </c>
      <c r="C155" t="s">
        <v>16</v>
      </c>
      <c r="D155" t="s">
        <v>353</v>
      </c>
      <c r="E155" t="s">
        <v>26</v>
      </c>
      <c r="F155" s="1" t="s">
        <v>246</v>
      </c>
      <c r="G155" t="s">
        <v>247</v>
      </c>
      <c r="H155">
        <v>10950</v>
      </c>
      <c r="I155" s="2">
        <v>44105</v>
      </c>
      <c r="J155" s="2">
        <v>44137</v>
      </c>
      <c r="K155">
        <v>10950</v>
      </c>
    </row>
    <row r="156" spans="1:11" x14ac:dyDescent="0.25">
      <c r="A156" t="str">
        <f>"ZDD2ECDDD5"</f>
        <v>ZDD2ECDDD5</v>
      </c>
      <c r="B156" t="str">
        <f t="shared" si="2"/>
        <v>06363391001</v>
      </c>
      <c r="C156" t="s">
        <v>16</v>
      </c>
      <c r="D156" t="s">
        <v>354</v>
      </c>
      <c r="E156" t="s">
        <v>26</v>
      </c>
      <c r="F156" s="1" t="s">
        <v>355</v>
      </c>
      <c r="G156" t="s">
        <v>149</v>
      </c>
      <c r="H156">
        <v>4240</v>
      </c>
      <c r="I156" s="2">
        <v>44123</v>
      </c>
      <c r="J156" s="2">
        <v>44154</v>
      </c>
      <c r="K156">
        <v>4240</v>
      </c>
    </row>
    <row r="157" spans="1:11" x14ac:dyDescent="0.25">
      <c r="A157" t="str">
        <f>"Z862EF0DC3"</f>
        <v>Z862EF0DC3</v>
      </c>
      <c r="B157" t="str">
        <f t="shared" si="2"/>
        <v>06363391001</v>
      </c>
      <c r="C157" t="s">
        <v>16</v>
      </c>
      <c r="D157" t="s">
        <v>356</v>
      </c>
      <c r="E157" t="s">
        <v>26</v>
      </c>
      <c r="F157" s="1" t="s">
        <v>357</v>
      </c>
      <c r="G157" t="s">
        <v>358</v>
      </c>
      <c r="H157">
        <v>4380</v>
      </c>
      <c r="I157" s="2">
        <v>44131</v>
      </c>
      <c r="J157" s="2">
        <v>44313</v>
      </c>
      <c r="K157">
        <v>4380</v>
      </c>
    </row>
    <row r="158" spans="1:11" x14ac:dyDescent="0.25">
      <c r="A158" t="str">
        <f>"ZC12EE9852"</f>
        <v>ZC12EE9852</v>
      </c>
      <c r="B158" t="str">
        <f t="shared" si="2"/>
        <v>06363391001</v>
      </c>
      <c r="C158" t="s">
        <v>16</v>
      </c>
      <c r="D158" t="s">
        <v>359</v>
      </c>
      <c r="E158" t="s">
        <v>26</v>
      </c>
      <c r="F158" s="1" t="s">
        <v>360</v>
      </c>
      <c r="G158" t="s">
        <v>361</v>
      </c>
      <c r="H158">
        <v>7900</v>
      </c>
      <c r="I158" s="2">
        <v>44131</v>
      </c>
      <c r="J158" s="2">
        <v>44225</v>
      </c>
      <c r="K158">
        <v>7900</v>
      </c>
    </row>
    <row r="159" spans="1:11" x14ac:dyDescent="0.25">
      <c r="A159" t="str">
        <f>"8297764B76"</f>
        <v>8297764B76</v>
      </c>
      <c r="B159" t="str">
        <f t="shared" si="2"/>
        <v>06363391001</v>
      </c>
      <c r="C159" t="s">
        <v>16</v>
      </c>
      <c r="D159" t="s">
        <v>362</v>
      </c>
      <c r="E159" t="s">
        <v>56</v>
      </c>
      <c r="F159" s="1" t="s">
        <v>363</v>
      </c>
      <c r="G159" t="s">
        <v>364</v>
      </c>
      <c r="H159">
        <v>80050.539999999994</v>
      </c>
      <c r="I159" s="2">
        <v>44112</v>
      </c>
      <c r="J159" s="2">
        <v>44293</v>
      </c>
      <c r="K159">
        <v>3493.64</v>
      </c>
    </row>
    <row r="160" spans="1:11" x14ac:dyDescent="0.25">
      <c r="A160" t="str">
        <f>"8493332749"</f>
        <v>8493332749</v>
      </c>
      <c r="B160" t="str">
        <f t="shared" si="2"/>
        <v>06363391001</v>
      </c>
      <c r="C160" t="s">
        <v>16</v>
      </c>
      <c r="D160" t="s">
        <v>365</v>
      </c>
      <c r="E160" t="s">
        <v>18</v>
      </c>
      <c r="F160" s="1" t="s">
        <v>366</v>
      </c>
      <c r="G160" t="s">
        <v>364</v>
      </c>
      <c r="H160">
        <v>53849.66</v>
      </c>
      <c r="I160" s="2">
        <v>44133</v>
      </c>
      <c r="J160" s="2">
        <v>44148</v>
      </c>
      <c r="K160">
        <v>50237.23</v>
      </c>
    </row>
    <row r="161" spans="1:11" x14ac:dyDescent="0.25">
      <c r="A161" t="str">
        <f>"8493375AC4"</f>
        <v>8493375AC4</v>
      </c>
      <c r="B161" t="str">
        <f t="shared" si="2"/>
        <v>06363391001</v>
      </c>
      <c r="C161" t="s">
        <v>16</v>
      </c>
      <c r="D161" t="s">
        <v>365</v>
      </c>
      <c r="E161" t="s">
        <v>18</v>
      </c>
      <c r="F161" s="1" t="s">
        <v>367</v>
      </c>
      <c r="G161" t="s">
        <v>368</v>
      </c>
      <c r="H161">
        <v>57090.25</v>
      </c>
      <c r="I161" s="2">
        <v>44133</v>
      </c>
      <c r="J161" s="2">
        <v>44148</v>
      </c>
      <c r="K161">
        <v>57437.85</v>
      </c>
    </row>
    <row r="162" spans="1:11" x14ac:dyDescent="0.25">
      <c r="A162" t="str">
        <f>"84934107A7"</f>
        <v>84934107A7</v>
      </c>
      <c r="B162" t="str">
        <f t="shared" si="2"/>
        <v>06363391001</v>
      </c>
      <c r="C162" t="s">
        <v>16</v>
      </c>
      <c r="D162" t="s">
        <v>365</v>
      </c>
      <c r="E162" t="s">
        <v>18</v>
      </c>
      <c r="F162" s="1" t="s">
        <v>369</v>
      </c>
      <c r="G162" t="s">
        <v>370</v>
      </c>
      <c r="H162">
        <v>51585</v>
      </c>
      <c r="I162" s="2">
        <v>44133</v>
      </c>
      <c r="J162" s="2">
        <v>44148</v>
      </c>
      <c r="K162">
        <v>51556.45</v>
      </c>
    </row>
    <row r="163" spans="1:11" x14ac:dyDescent="0.25">
      <c r="A163" t="str">
        <f>"8297764B76"</f>
        <v>8297764B76</v>
      </c>
      <c r="B163" t="str">
        <f t="shared" si="2"/>
        <v>06363391001</v>
      </c>
      <c r="C163" t="s">
        <v>16</v>
      </c>
      <c r="D163" t="s">
        <v>362</v>
      </c>
      <c r="E163" t="s">
        <v>56</v>
      </c>
      <c r="F163" s="1" t="s">
        <v>363</v>
      </c>
      <c r="G163" t="s">
        <v>368</v>
      </c>
      <c r="H163">
        <v>84257</v>
      </c>
      <c r="I163" s="2">
        <v>44112</v>
      </c>
      <c r="J163" s="2">
        <v>44293</v>
      </c>
      <c r="K163">
        <v>0</v>
      </c>
    </row>
    <row r="164" spans="1:11" x14ac:dyDescent="0.25">
      <c r="A164" t="str">
        <f>"8297764B76"</f>
        <v>8297764B76</v>
      </c>
      <c r="B164" t="str">
        <f t="shared" si="2"/>
        <v>06363391001</v>
      </c>
      <c r="C164" t="s">
        <v>16</v>
      </c>
      <c r="D164" t="s">
        <v>362</v>
      </c>
      <c r="E164" t="s">
        <v>56</v>
      </c>
      <c r="F164" s="1" t="s">
        <v>363</v>
      </c>
      <c r="G164" t="s">
        <v>370</v>
      </c>
      <c r="H164">
        <v>78829</v>
      </c>
      <c r="I164" s="2">
        <v>44133</v>
      </c>
      <c r="J164" s="2">
        <v>44293</v>
      </c>
      <c r="K164">
        <v>0</v>
      </c>
    </row>
    <row r="165" spans="1:11" x14ac:dyDescent="0.25">
      <c r="A165" t="str">
        <f>"8265024192"</f>
        <v>8265024192</v>
      </c>
      <c r="B165" t="str">
        <f t="shared" si="2"/>
        <v>06363391001</v>
      </c>
      <c r="C165" t="s">
        <v>16</v>
      </c>
      <c r="D165" t="s">
        <v>371</v>
      </c>
      <c r="E165" t="s">
        <v>18</v>
      </c>
      <c r="F165" s="1" t="s">
        <v>101</v>
      </c>
      <c r="G165" t="s">
        <v>102</v>
      </c>
      <c r="H165">
        <v>12953.76</v>
      </c>
      <c r="I165" s="2">
        <v>44124</v>
      </c>
      <c r="J165" s="2">
        <v>45584</v>
      </c>
      <c r="K165">
        <v>1156.04</v>
      </c>
    </row>
    <row r="166" spans="1:11" x14ac:dyDescent="0.25">
      <c r="A166" t="str">
        <f>"8256645EFC"</f>
        <v>8256645EFC</v>
      </c>
      <c r="B166" t="str">
        <f t="shared" si="2"/>
        <v>06363391001</v>
      </c>
      <c r="C166" t="s">
        <v>16</v>
      </c>
      <c r="D166" t="s">
        <v>372</v>
      </c>
      <c r="E166" t="s">
        <v>18</v>
      </c>
      <c r="F166" s="1" t="s">
        <v>101</v>
      </c>
      <c r="G166" t="s">
        <v>102</v>
      </c>
      <c r="H166">
        <v>12953.76</v>
      </c>
      <c r="I166" s="2">
        <v>44074</v>
      </c>
      <c r="J166" s="2">
        <v>45534</v>
      </c>
      <c r="K166">
        <v>4069.61</v>
      </c>
    </row>
    <row r="167" spans="1:11" x14ac:dyDescent="0.25">
      <c r="A167" t="str">
        <f>"8264957A45"</f>
        <v>8264957A45</v>
      </c>
      <c r="B167" t="str">
        <f t="shared" si="2"/>
        <v>06363391001</v>
      </c>
      <c r="C167" t="s">
        <v>16</v>
      </c>
      <c r="D167" t="s">
        <v>373</v>
      </c>
      <c r="E167" t="s">
        <v>18</v>
      </c>
      <c r="F167" s="1" t="s">
        <v>101</v>
      </c>
      <c r="G167" t="s">
        <v>102</v>
      </c>
      <c r="H167">
        <v>13673.76</v>
      </c>
      <c r="I167" s="2">
        <v>44123</v>
      </c>
      <c r="J167" s="2">
        <v>45584</v>
      </c>
      <c r="K167">
        <v>3566.01</v>
      </c>
    </row>
    <row r="168" spans="1:11" x14ac:dyDescent="0.25">
      <c r="A168" t="str">
        <f>"82649883DC"</f>
        <v>82649883DC</v>
      </c>
      <c r="B168" t="str">
        <f t="shared" si="2"/>
        <v>06363391001</v>
      </c>
      <c r="C168" t="s">
        <v>16</v>
      </c>
      <c r="D168" t="s">
        <v>373</v>
      </c>
      <c r="E168" t="s">
        <v>18</v>
      </c>
      <c r="F168" s="1" t="s">
        <v>101</v>
      </c>
      <c r="G168" t="s">
        <v>102</v>
      </c>
      <c r="H168">
        <v>13673.76</v>
      </c>
      <c r="I168" s="2">
        <v>43923</v>
      </c>
      <c r="K168">
        <v>3544.63</v>
      </c>
    </row>
    <row r="169" spans="1:11" x14ac:dyDescent="0.25">
      <c r="A169" t="str">
        <f>"826500303E"</f>
        <v>826500303E</v>
      </c>
      <c r="B169" t="str">
        <f t="shared" si="2"/>
        <v>06363391001</v>
      </c>
      <c r="C169" t="s">
        <v>16</v>
      </c>
      <c r="D169" t="s">
        <v>373</v>
      </c>
      <c r="E169" t="s">
        <v>18</v>
      </c>
      <c r="F169" s="1" t="s">
        <v>101</v>
      </c>
      <c r="G169" t="s">
        <v>102</v>
      </c>
      <c r="H169">
        <v>12953.76</v>
      </c>
      <c r="I169" s="2">
        <v>43923</v>
      </c>
      <c r="K169">
        <v>2845.06</v>
      </c>
    </row>
    <row r="170" spans="1:11" x14ac:dyDescent="0.25">
      <c r="A170" t="str">
        <f>"8380443058"</f>
        <v>8380443058</v>
      </c>
      <c r="B170" t="str">
        <f t="shared" si="2"/>
        <v>06363391001</v>
      </c>
      <c r="C170" t="s">
        <v>16</v>
      </c>
      <c r="D170" t="s">
        <v>374</v>
      </c>
      <c r="E170" t="s">
        <v>18</v>
      </c>
      <c r="F170" s="1" t="s">
        <v>375</v>
      </c>
      <c r="G170" t="s">
        <v>143</v>
      </c>
      <c r="H170">
        <v>65550</v>
      </c>
      <c r="I170" s="2">
        <v>44044</v>
      </c>
      <c r="J170" s="2">
        <v>45138</v>
      </c>
      <c r="K170">
        <v>27312.5</v>
      </c>
    </row>
    <row r="171" spans="1:11" x14ac:dyDescent="0.25">
      <c r="A171" t="str">
        <f>"8477928F7E"</f>
        <v>8477928F7E</v>
      </c>
      <c r="B171" t="str">
        <f t="shared" si="2"/>
        <v>06363391001</v>
      </c>
      <c r="C171" t="s">
        <v>16</v>
      </c>
      <c r="D171" t="s">
        <v>49</v>
      </c>
      <c r="E171" t="s">
        <v>18</v>
      </c>
      <c r="F171" s="1" t="s">
        <v>52</v>
      </c>
      <c r="G171" t="s">
        <v>53</v>
      </c>
      <c r="H171">
        <v>13299</v>
      </c>
      <c r="I171" s="2">
        <v>44145</v>
      </c>
      <c r="J171" s="2">
        <v>45971</v>
      </c>
      <c r="K171">
        <v>2659.84</v>
      </c>
    </row>
    <row r="172" spans="1:11" x14ac:dyDescent="0.25">
      <c r="A172" t="str">
        <f>"Z452F0EE52"</f>
        <v>Z452F0EE52</v>
      </c>
      <c r="B172" t="str">
        <f t="shared" si="2"/>
        <v>06363391001</v>
      </c>
      <c r="C172" t="s">
        <v>16</v>
      </c>
      <c r="D172" t="s">
        <v>376</v>
      </c>
      <c r="E172" t="s">
        <v>26</v>
      </c>
      <c r="F172" s="1" t="s">
        <v>377</v>
      </c>
      <c r="G172" t="s">
        <v>378</v>
      </c>
      <c r="H172">
        <v>194.3</v>
      </c>
      <c r="I172" s="2">
        <v>44154</v>
      </c>
      <c r="J172" s="2">
        <v>44518</v>
      </c>
      <c r="K172">
        <v>194.29</v>
      </c>
    </row>
    <row r="173" spans="1:11" x14ac:dyDescent="0.25">
      <c r="A173" t="str">
        <f>"85198946F1"</f>
        <v>85198946F1</v>
      </c>
      <c r="B173" t="str">
        <f t="shared" si="2"/>
        <v>06363391001</v>
      </c>
      <c r="C173" t="s">
        <v>16</v>
      </c>
      <c r="D173" t="s">
        <v>379</v>
      </c>
      <c r="E173" t="s">
        <v>18</v>
      </c>
      <c r="F173" s="1" t="s">
        <v>380</v>
      </c>
      <c r="G173" t="s">
        <v>381</v>
      </c>
      <c r="H173">
        <v>0</v>
      </c>
      <c r="I173" s="2">
        <v>44153</v>
      </c>
      <c r="J173" s="2">
        <v>44196</v>
      </c>
      <c r="K173">
        <v>10374.450000000001</v>
      </c>
    </row>
    <row r="174" spans="1:11" x14ac:dyDescent="0.25">
      <c r="A174" t="str">
        <f>"8164233A32"</f>
        <v>8164233A32</v>
      </c>
      <c r="B174" t="str">
        <f t="shared" si="2"/>
        <v>06363391001</v>
      </c>
      <c r="C174" t="s">
        <v>16</v>
      </c>
      <c r="D174" t="s">
        <v>382</v>
      </c>
      <c r="E174" t="s">
        <v>63</v>
      </c>
      <c r="F174" s="1" t="s">
        <v>383</v>
      </c>
      <c r="G174" t="s">
        <v>384</v>
      </c>
      <c r="H174">
        <v>221930.27</v>
      </c>
      <c r="I174" s="2">
        <v>44090</v>
      </c>
      <c r="J174" s="2">
        <v>44454</v>
      </c>
      <c r="K174">
        <v>6217.03</v>
      </c>
    </row>
    <row r="175" spans="1:11" x14ac:dyDescent="0.25">
      <c r="A175" t="str">
        <f>"8157934C18"</f>
        <v>8157934C18</v>
      </c>
      <c r="B175" t="str">
        <f t="shared" si="2"/>
        <v>06363391001</v>
      </c>
      <c r="C175" t="s">
        <v>16</v>
      </c>
      <c r="D175" t="s">
        <v>385</v>
      </c>
      <c r="E175" t="s">
        <v>56</v>
      </c>
      <c r="F175" s="1" t="s">
        <v>386</v>
      </c>
      <c r="G175" t="s">
        <v>285</v>
      </c>
      <c r="H175">
        <v>200737.5</v>
      </c>
      <c r="I175" s="2">
        <v>44165</v>
      </c>
      <c r="J175" s="2">
        <v>45259</v>
      </c>
      <c r="K175">
        <v>599.41999999999996</v>
      </c>
    </row>
    <row r="176" spans="1:11" x14ac:dyDescent="0.25">
      <c r="A176" t="str">
        <f>"Z912F7CF23"</f>
        <v>Z912F7CF23</v>
      </c>
      <c r="B176" t="str">
        <f t="shared" si="2"/>
        <v>06363391001</v>
      </c>
      <c r="C176" t="s">
        <v>16</v>
      </c>
      <c r="D176" t="s">
        <v>387</v>
      </c>
      <c r="E176" t="s">
        <v>26</v>
      </c>
      <c r="F176" s="1" t="s">
        <v>388</v>
      </c>
      <c r="G176" t="s">
        <v>389</v>
      </c>
      <c r="H176">
        <v>3986.5</v>
      </c>
      <c r="I176" s="2">
        <v>44207</v>
      </c>
      <c r="J176" s="2">
        <v>44658</v>
      </c>
      <c r="K176">
        <v>3986.5</v>
      </c>
    </row>
    <row r="177" spans="1:11" x14ac:dyDescent="0.25">
      <c r="A177" t="str">
        <f>"0000000000"</f>
        <v>0000000000</v>
      </c>
      <c r="B177" t="str">
        <f t="shared" si="2"/>
        <v>06363391001</v>
      </c>
      <c r="C177" t="s">
        <v>16</v>
      </c>
      <c r="D177" t="s">
        <v>390</v>
      </c>
      <c r="E177" t="s">
        <v>26</v>
      </c>
      <c r="F177" s="1" t="s">
        <v>391</v>
      </c>
      <c r="G177" t="s">
        <v>392</v>
      </c>
      <c r="H177">
        <v>10000</v>
      </c>
      <c r="I177" s="2">
        <v>44197</v>
      </c>
      <c r="J177" s="2">
        <v>44561</v>
      </c>
      <c r="K177">
        <v>10000</v>
      </c>
    </row>
    <row r="178" spans="1:11" x14ac:dyDescent="0.25">
      <c r="A178" t="str">
        <f>"Z4B2F7CEE6"</f>
        <v>Z4B2F7CEE6</v>
      </c>
      <c r="B178" t="str">
        <f t="shared" si="2"/>
        <v>06363391001</v>
      </c>
      <c r="C178" t="s">
        <v>16</v>
      </c>
      <c r="D178" t="s">
        <v>393</v>
      </c>
      <c r="E178" t="s">
        <v>26</v>
      </c>
      <c r="F178" s="1" t="s">
        <v>394</v>
      </c>
      <c r="G178" t="s">
        <v>395</v>
      </c>
      <c r="H178">
        <v>210</v>
      </c>
      <c r="I178" s="2">
        <v>43831</v>
      </c>
      <c r="J178" s="2">
        <v>44561</v>
      </c>
      <c r="K178">
        <v>210</v>
      </c>
    </row>
    <row r="179" spans="1:11" x14ac:dyDescent="0.25">
      <c r="A179" t="str">
        <f>"0000000000"</f>
        <v>0000000000</v>
      </c>
      <c r="B179" t="str">
        <f t="shared" si="2"/>
        <v>06363391001</v>
      </c>
      <c r="C179" t="s">
        <v>16</v>
      </c>
      <c r="D179" t="s">
        <v>396</v>
      </c>
      <c r="E179" t="s">
        <v>26</v>
      </c>
      <c r="F179" s="1" t="s">
        <v>397</v>
      </c>
      <c r="G179" t="s">
        <v>398</v>
      </c>
      <c r="H179">
        <v>750</v>
      </c>
      <c r="I179" s="2">
        <v>44197</v>
      </c>
      <c r="J179" s="2">
        <v>44561</v>
      </c>
      <c r="K179">
        <v>750</v>
      </c>
    </row>
    <row r="180" spans="1:11" x14ac:dyDescent="0.25">
      <c r="A180" t="str">
        <f>"Z822E9E208"</f>
        <v>Z822E9E208</v>
      </c>
      <c r="B180" t="str">
        <f t="shared" si="2"/>
        <v>06363391001</v>
      </c>
      <c r="C180" t="s">
        <v>16</v>
      </c>
      <c r="D180" t="s">
        <v>399</v>
      </c>
      <c r="E180" t="s">
        <v>26</v>
      </c>
      <c r="F180" s="1" t="s">
        <v>400</v>
      </c>
      <c r="G180" t="s">
        <v>401</v>
      </c>
      <c r="H180">
        <v>305</v>
      </c>
      <c r="I180" s="2">
        <v>44111</v>
      </c>
      <c r="J180" s="2">
        <v>44123</v>
      </c>
      <c r="K180">
        <v>305</v>
      </c>
    </row>
    <row r="181" spans="1:11" x14ac:dyDescent="0.25">
      <c r="A181" t="str">
        <f>"ZE12FB6ABB"</f>
        <v>ZE12FB6ABB</v>
      </c>
      <c r="B181" t="str">
        <f t="shared" si="2"/>
        <v>06363391001</v>
      </c>
      <c r="C181" t="s">
        <v>16</v>
      </c>
      <c r="D181" t="s">
        <v>402</v>
      </c>
      <c r="E181" t="s">
        <v>26</v>
      </c>
      <c r="F181" s="1" t="s">
        <v>403</v>
      </c>
      <c r="G181" t="s">
        <v>404</v>
      </c>
      <c r="H181">
        <v>180</v>
      </c>
      <c r="I181" s="2">
        <v>44197</v>
      </c>
      <c r="J181" s="2">
        <v>44561</v>
      </c>
      <c r="K181">
        <v>180</v>
      </c>
    </row>
    <row r="182" spans="1:11" x14ac:dyDescent="0.25">
      <c r="A182" t="str">
        <f>"Z8D2FB6AA4"</f>
        <v>Z8D2FB6AA4</v>
      </c>
      <c r="B182" t="str">
        <f t="shared" si="2"/>
        <v>06363391001</v>
      </c>
      <c r="C182" t="s">
        <v>16</v>
      </c>
      <c r="D182" t="s">
        <v>405</v>
      </c>
      <c r="E182" t="s">
        <v>26</v>
      </c>
      <c r="F182" s="1" t="s">
        <v>406</v>
      </c>
      <c r="G182" t="s">
        <v>407</v>
      </c>
      <c r="H182">
        <v>4000</v>
      </c>
      <c r="I182" s="2">
        <v>44197</v>
      </c>
      <c r="J182" s="2">
        <v>44561</v>
      </c>
      <c r="K182">
        <v>4000</v>
      </c>
    </row>
    <row r="183" spans="1:11" x14ac:dyDescent="0.25">
      <c r="A183" t="str">
        <f>"Z202FB6AAD"</f>
        <v>Z202FB6AAD</v>
      </c>
      <c r="B183" t="str">
        <f t="shared" si="2"/>
        <v>06363391001</v>
      </c>
      <c r="C183" t="s">
        <v>16</v>
      </c>
      <c r="D183" t="s">
        <v>405</v>
      </c>
      <c r="E183" t="s">
        <v>26</v>
      </c>
      <c r="F183" s="1" t="s">
        <v>408</v>
      </c>
      <c r="G183" t="s">
        <v>409</v>
      </c>
      <c r="H183">
        <v>748.8</v>
      </c>
      <c r="I183" s="2">
        <v>44197</v>
      </c>
      <c r="J183" s="2">
        <v>44561</v>
      </c>
      <c r="K183">
        <v>720</v>
      </c>
    </row>
    <row r="184" spans="1:11" x14ac:dyDescent="0.25">
      <c r="A184" t="str">
        <f>"85488004EE"</f>
        <v>85488004EE</v>
      </c>
      <c r="B184" t="str">
        <f t="shared" si="2"/>
        <v>06363391001</v>
      </c>
      <c r="C184" t="s">
        <v>16</v>
      </c>
      <c r="D184" t="s">
        <v>410</v>
      </c>
      <c r="E184" t="s">
        <v>18</v>
      </c>
      <c r="F184" s="1" t="s">
        <v>411</v>
      </c>
      <c r="G184" t="s">
        <v>412</v>
      </c>
      <c r="H184">
        <v>64000</v>
      </c>
      <c r="I184" s="2">
        <v>44174</v>
      </c>
      <c r="J184" s="2">
        <v>44189</v>
      </c>
      <c r="K184">
        <v>59824.74</v>
      </c>
    </row>
    <row r="185" spans="1:11" x14ac:dyDescent="0.25">
      <c r="A185" t="str">
        <f>"8549156AB4"</f>
        <v>8549156AB4</v>
      </c>
      <c r="B185" t="str">
        <f t="shared" si="2"/>
        <v>06363391001</v>
      </c>
      <c r="C185" t="s">
        <v>16</v>
      </c>
      <c r="D185" t="s">
        <v>410</v>
      </c>
      <c r="E185" t="s">
        <v>18</v>
      </c>
      <c r="F185" s="1" t="s">
        <v>413</v>
      </c>
      <c r="G185" t="s">
        <v>414</v>
      </c>
      <c r="H185">
        <v>57868.800000000003</v>
      </c>
      <c r="I185" s="2">
        <v>44174</v>
      </c>
      <c r="J185" s="2">
        <v>44189</v>
      </c>
      <c r="K185">
        <v>57868.800000000003</v>
      </c>
    </row>
    <row r="186" spans="1:11" x14ac:dyDescent="0.25">
      <c r="A186" t="str">
        <f>"8570993F29"</f>
        <v>8570993F29</v>
      </c>
      <c r="B186" t="str">
        <f t="shared" si="2"/>
        <v>06363391001</v>
      </c>
      <c r="C186" t="s">
        <v>16</v>
      </c>
      <c r="D186" t="s">
        <v>415</v>
      </c>
      <c r="E186" t="s">
        <v>26</v>
      </c>
      <c r="F186" s="1" t="s">
        <v>416</v>
      </c>
      <c r="G186" t="s">
        <v>417</v>
      </c>
      <c r="H186">
        <v>69686.460000000006</v>
      </c>
      <c r="I186" s="2">
        <v>44186</v>
      </c>
      <c r="J186" s="2">
        <v>44469</v>
      </c>
      <c r="K186">
        <v>46914.7</v>
      </c>
    </row>
    <row r="187" spans="1:11" x14ac:dyDescent="0.25">
      <c r="A187" t="str">
        <f>"Z762FEBA6E"</f>
        <v>Z762FEBA6E</v>
      </c>
      <c r="B187" t="str">
        <f t="shared" si="2"/>
        <v>06363391001</v>
      </c>
      <c r="C187" t="s">
        <v>16</v>
      </c>
      <c r="D187" t="s">
        <v>418</v>
      </c>
      <c r="E187" t="s">
        <v>26</v>
      </c>
      <c r="F187" s="1" t="s">
        <v>178</v>
      </c>
      <c r="G187" t="s">
        <v>179</v>
      </c>
      <c r="H187">
        <v>245.7</v>
      </c>
      <c r="I187" s="2">
        <v>44197</v>
      </c>
      <c r="J187" s="2">
        <v>44561</v>
      </c>
      <c r="K187">
        <v>184.29</v>
      </c>
    </row>
    <row r="188" spans="1:11" x14ac:dyDescent="0.25">
      <c r="A188" t="str">
        <f>"8571073132"</f>
        <v>8571073132</v>
      </c>
      <c r="B188" t="str">
        <f t="shared" si="2"/>
        <v>06363391001</v>
      </c>
      <c r="C188" t="s">
        <v>16</v>
      </c>
      <c r="D188" t="s">
        <v>405</v>
      </c>
      <c r="E188" t="s">
        <v>56</v>
      </c>
      <c r="F188" s="1" t="s">
        <v>419</v>
      </c>
      <c r="G188" t="s">
        <v>420</v>
      </c>
      <c r="H188">
        <v>56995</v>
      </c>
      <c r="I188" s="2">
        <v>44197</v>
      </c>
      <c r="J188" s="2">
        <v>44561</v>
      </c>
      <c r="K188">
        <v>56995</v>
      </c>
    </row>
    <row r="189" spans="1:11" x14ac:dyDescent="0.25">
      <c r="A189" t="str">
        <f>"ZA82FD610E"</f>
        <v>ZA82FD610E</v>
      </c>
      <c r="B189" t="str">
        <f t="shared" si="2"/>
        <v>06363391001</v>
      </c>
      <c r="C189" t="s">
        <v>16</v>
      </c>
      <c r="D189" t="s">
        <v>421</v>
      </c>
      <c r="E189" t="s">
        <v>26</v>
      </c>
      <c r="F189" s="1" t="s">
        <v>422</v>
      </c>
      <c r="G189" t="s">
        <v>423</v>
      </c>
      <c r="H189">
        <v>20688</v>
      </c>
      <c r="I189" s="2">
        <v>43831</v>
      </c>
      <c r="J189" s="2">
        <v>44561</v>
      </c>
      <c r="K189">
        <v>20688</v>
      </c>
    </row>
    <row r="190" spans="1:11" x14ac:dyDescent="0.25">
      <c r="A190" t="str">
        <f>"Z992FB69F4"</f>
        <v>Z992FB69F4</v>
      </c>
      <c r="B190" t="str">
        <f t="shared" si="2"/>
        <v>06363391001</v>
      </c>
      <c r="C190" t="s">
        <v>16</v>
      </c>
      <c r="D190" t="s">
        <v>424</v>
      </c>
      <c r="E190" t="s">
        <v>26</v>
      </c>
      <c r="F190" s="1" t="s">
        <v>425</v>
      </c>
      <c r="G190" t="s">
        <v>426</v>
      </c>
      <c r="H190">
        <v>6000</v>
      </c>
      <c r="I190" s="2">
        <v>43831</v>
      </c>
      <c r="J190" s="2">
        <v>44561</v>
      </c>
      <c r="K190">
        <v>4918.03</v>
      </c>
    </row>
    <row r="191" spans="1:11" x14ac:dyDescent="0.25">
      <c r="A191" t="str">
        <f>"8550150EF9"</f>
        <v>8550150EF9</v>
      </c>
      <c r="B191" t="str">
        <f t="shared" si="2"/>
        <v>06363391001</v>
      </c>
      <c r="C191" t="s">
        <v>16</v>
      </c>
      <c r="D191" t="s">
        <v>427</v>
      </c>
      <c r="E191" t="s">
        <v>18</v>
      </c>
      <c r="F191" s="1" t="s">
        <v>428</v>
      </c>
      <c r="G191" t="s">
        <v>429</v>
      </c>
      <c r="H191">
        <v>1278018.3600000001</v>
      </c>
      <c r="I191" s="2">
        <v>44113</v>
      </c>
      <c r="J191" s="2">
        <v>44904</v>
      </c>
      <c r="K191">
        <v>219018.12</v>
      </c>
    </row>
    <row r="192" spans="1:11" x14ac:dyDescent="0.25">
      <c r="A192" t="str">
        <f>"8424919F15"</f>
        <v>8424919F15</v>
      </c>
      <c r="B192" t="str">
        <f t="shared" si="2"/>
        <v>06363391001</v>
      </c>
      <c r="C192" t="s">
        <v>16</v>
      </c>
      <c r="D192" t="s">
        <v>430</v>
      </c>
      <c r="E192" t="s">
        <v>18</v>
      </c>
      <c r="F192" s="1" t="s">
        <v>101</v>
      </c>
      <c r="G192" t="s">
        <v>102</v>
      </c>
      <c r="H192">
        <v>10176.959999999999</v>
      </c>
      <c r="I192" s="2">
        <v>44259</v>
      </c>
      <c r="J192" s="2">
        <v>45719</v>
      </c>
      <c r="K192">
        <v>1893.17</v>
      </c>
    </row>
    <row r="193" spans="1:11" x14ac:dyDescent="0.25">
      <c r="A193" t="str">
        <f>"842490538B"</f>
        <v>842490538B</v>
      </c>
      <c r="B193" t="str">
        <f t="shared" si="2"/>
        <v>06363391001</v>
      </c>
      <c r="C193" t="s">
        <v>16</v>
      </c>
      <c r="D193" t="s">
        <v>431</v>
      </c>
      <c r="E193" t="s">
        <v>18</v>
      </c>
      <c r="F193" s="1" t="s">
        <v>101</v>
      </c>
      <c r="G193" t="s">
        <v>102</v>
      </c>
      <c r="H193">
        <v>12953.76</v>
      </c>
      <c r="I193" s="2">
        <v>44259</v>
      </c>
      <c r="J193" s="2">
        <v>45719</v>
      </c>
      <c r="K193">
        <v>2283.79</v>
      </c>
    </row>
    <row r="194" spans="1:11" x14ac:dyDescent="0.25">
      <c r="A194" t="str">
        <f>"Z37301AF0A"</f>
        <v>Z37301AF0A</v>
      </c>
      <c r="B194" t="str">
        <f t="shared" si="2"/>
        <v>06363391001</v>
      </c>
      <c r="C194" t="s">
        <v>16</v>
      </c>
      <c r="D194" t="s">
        <v>432</v>
      </c>
      <c r="E194" t="s">
        <v>26</v>
      </c>
      <c r="F194" s="1" t="s">
        <v>433</v>
      </c>
      <c r="G194" t="s">
        <v>434</v>
      </c>
      <c r="H194">
        <v>641.21</v>
      </c>
      <c r="I194" s="2">
        <v>44204</v>
      </c>
      <c r="J194" s="2">
        <v>44209</v>
      </c>
      <c r="K194">
        <v>641.21</v>
      </c>
    </row>
    <row r="195" spans="1:11" x14ac:dyDescent="0.25">
      <c r="A195" t="str">
        <f>"8539859296"</f>
        <v>8539859296</v>
      </c>
      <c r="B195" t="str">
        <f t="shared" ref="B195:B258" si="3">"06363391001"</f>
        <v>06363391001</v>
      </c>
      <c r="C195" t="s">
        <v>16</v>
      </c>
      <c r="D195" t="s">
        <v>435</v>
      </c>
      <c r="E195" t="s">
        <v>18</v>
      </c>
      <c r="F195" s="1" t="s">
        <v>436</v>
      </c>
      <c r="G195" t="s">
        <v>437</v>
      </c>
      <c r="H195">
        <v>95668.5</v>
      </c>
      <c r="I195" s="2">
        <v>44228</v>
      </c>
      <c r="J195" s="2">
        <v>45322</v>
      </c>
      <c r="K195">
        <v>2206.5</v>
      </c>
    </row>
    <row r="196" spans="1:11" x14ac:dyDescent="0.25">
      <c r="A196" t="str">
        <f>"8256653599"</f>
        <v>8256653599</v>
      </c>
      <c r="B196" t="str">
        <f t="shared" si="3"/>
        <v>06363391001</v>
      </c>
      <c r="C196" t="s">
        <v>16</v>
      </c>
      <c r="D196" t="s">
        <v>438</v>
      </c>
      <c r="E196" t="s">
        <v>18</v>
      </c>
      <c r="F196" s="1" t="s">
        <v>101</v>
      </c>
      <c r="G196" t="s">
        <v>102</v>
      </c>
      <c r="H196">
        <v>10896.96</v>
      </c>
      <c r="I196" s="2">
        <v>44186</v>
      </c>
      <c r="J196" s="2">
        <v>45646</v>
      </c>
      <c r="K196">
        <v>2800.49</v>
      </c>
    </row>
    <row r="197" spans="1:11" x14ac:dyDescent="0.25">
      <c r="A197" t="str">
        <f>"Z312EBCFED"</f>
        <v>Z312EBCFED</v>
      </c>
      <c r="B197" t="str">
        <f t="shared" si="3"/>
        <v>06363391001</v>
      </c>
      <c r="C197" t="s">
        <v>16</v>
      </c>
      <c r="D197" t="s">
        <v>439</v>
      </c>
      <c r="E197" t="s">
        <v>26</v>
      </c>
      <c r="F197" s="1" t="s">
        <v>131</v>
      </c>
      <c r="G197" t="s">
        <v>132</v>
      </c>
      <c r="H197">
        <v>9960</v>
      </c>
      <c r="I197" s="2">
        <v>44117</v>
      </c>
      <c r="J197" s="2">
        <v>45212</v>
      </c>
      <c r="K197">
        <v>9960</v>
      </c>
    </row>
    <row r="198" spans="1:11" x14ac:dyDescent="0.25">
      <c r="A198" t="str">
        <f>"8256613497"</f>
        <v>8256613497</v>
      </c>
      <c r="B198" t="str">
        <f t="shared" si="3"/>
        <v>06363391001</v>
      </c>
      <c r="C198" t="s">
        <v>16</v>
      </c>
      <c r="D198" t="s">
        <v>440</v>
      </c>
      <c r="E198" t="s">
        <v>18</v>
      </c>
      <c r="F198" s="1" t="s">
        <v>101</v>
      </c>
      <c r="G198" t="s">
        <v>102</v>
      </c>
      <c r="H198">
        <v>13673.76</v>
      </c>
      <c r="I198" s="2">
        <v>44215</v>
      </c>
      <c r="J198" s="2">
        <v>45675</v>
      </c>
      <c r="K198">
        <v>3093.35</v>
      </c>
    </row>
    <row r="199" spans="1:11" x14ac:dyDescent="0.25">
      <c r="A199" t="str">
        <f>"ZAE2EA3E4A"</f>
        <v>ZAE2EA3E4A</v>
      </c>
      <c r="B199" t="str">
        <f t="shared" si="3"/>
        <v>06363391001</v>
      </c>
      <c r="C199" t="s">
        <v>16</v>
      </c>
      <c r="D199" t="s">
        <v>441</v>
      </c>
      <c r="E199" t="s">
        <v>26</v>
      </c>
      <c r="F199" s="1" t="s">
        <v>442</v>
      </c>
      <c r="G199" t="s">
        <v>443</v>
      </c>
      <c r="H199">
        <v>5460</v>
      </c>
      <c r="I199" s="2">
        <v>44111</v>
      </c>
      <c r="J199" s="2">
        <v>44196</v>
      </c>
      <c r="K199">
        <v>5460</v>
      </c>
    </row>
    <row r="200" spans="1:11" x14ac:dyDescent="0.25">
      <c r="A200" t="str">
        <f>"8243582312"</f>
        <v>8243582312</v>
      </c>
      <c r="B200" t="str">
        <f t="shared" si="3"/>
        <v>06363391001</v>
      </c>
      <c r="C200" t="s">
        <v>16</v>
      </c>
      <c r="D200" t="s">
        <v>444</v>
      </c>
      <c r="E200" t="s">
        <v>56</v>
      </c>
      <c r="F200" s="1" t="s">
        <v>445</v>
      </c>
      <c r="G200" t="s">
        <v>446</v>
      </c>
      <c r="H200">
        <v>94920.66</v>
      </c>
      <c r="I200" s="2">
        <v>44083</v>
      </c>
      <c r="J200" s="2">
        <v>44338</v>
      </c>
      <c r="K200">
        <v>94920.66</v>
      </c>
    </row>
    <row r="201" spans="1:11" x14ac:dyDescent="0.25">
      <c r="A201" t="str">
        <f>"Z862F7D018"</f>
        <v>Z862F7D018</v>
      </c>
      <c r="B201" t="str">
        <f t="shared" si="3"/>
        <v>06363391001</v>
      </c>
      <c r="C201" t="s">
        <v>16</v>
      </c>
      <c r="D201" t="s">
        <v>447</v>
      </c>
      <c r="E201" t="s">
        <v>26</v>
      </c>
      <c r="F201" s="1" t="s">
        <v>448</v>
      </c>
      <c r="G201" t="s">
        <v>449</v>
      </c>
      <c r="H201">
        <v>2084</v>
      </c>
      <c r="I201" s="2">
        <v>44210</v>
      </c>
      <c r="J201" s="2">
        <v>44242</v>
      </c>
      <c r="K201">
        <v>2084</v>
      </c>
    </row>
    <row r="202" spans="1:11" x14ac:dyDescent="0.25">
      <c r="A202" t="str">
        <f>"82743154BE"</f>
        <v>82743154BE</v>
      </c>
      <c r="B202" t="str">
        <f t="shared" si="3"/>
        <v>06363391001</v>
      </c>
      <c r="C202" t="s">
        <v>16</v>
      </c>
      <c r="D202" t="s">
        <v>450</v>
      </c>
      <c r="E202" t="s">
        <v>63</v>
      </c>
      <c r="F202" s="1" t="s">
        <v>451</v>
      </c>
      <c r="G202" t="s">
        <v>452</v>
      </c>
      <c r="H202">
        <v>158931.85</v>
      </c>
      <c r="I202" s="2">
        <v>44209</v>
      </c>
      <c r="J202" s="2">
        <v>45850</v>
      </c>
      <c r="K202">
        <v>0</v>
      </c>
    </row>
    <row r="203" spans="1:11" x14ac:dyDescent="0.25">
      <c r="A203" t="str">
        <f>"8418555B59"</f>
        <v>8418555B59</v>
      </c>
      <c r="B203" t="str">
        <f t="shared" si="3"/>
        <v>06363391001</v>
      </c>
      <c r="C203" t="s">
        <v>16</v>
      </c>
      <c r="D203" t="s">
        <v>453</v>
      </c>
      <c r="E203" t="s">
        <v>56</v>
      </c>
      <c r="F203" s="1" t="s">
        <v>454</v>
      </c>
      <c r="G203" t="s">
        <v>412</v>
      </c>
      <c r="H203">
        <v>81094.2</v>
      </c>
      <c r="I203" s="2">
        <v>44210</v>
      </c>
      <c r="J203" s="2">
        <v>44390</v>
      </c>
      <c r="K203">
        <v>0</v>
      </c>
    </row>
    <row r="204" spans="1:11" x14ac:dyDescent="0.25">
      <c r="A204" t="str">
        <f>"8418555B59"</f>
        <v>8418555B59</v>
      </c>
      <c r="B204" t="str">
        <f t="shared" si="3"/>
        <v>06363391001</v>
      </c>
      <c r="C204" t="s">
        <v>16</v>
      </c>
      <c r="D204" t="s">
        <v>453</v>
      </c>
      <c r="E204" t="s">
        <v>56</v>
      </c>
      <c r="F204" s="1" t="s">
        <v>454</v>
      </c>
      <c r="G204" t="s">
        <v>414</v>
      </c>
      <c r="H204">
        <v>73325.36</v>
      </c>
      <c r="I204" s="2">
        <v>44210</v>
      </c>
      <c r="J204" s="2">
        <v>44390</v>
      </c>
      <c r="K204">
        <v>0</v>
      </c>
    </row>
    <row r="205" spans="1:11" x14ac:dyDescent="0.25">
      <c r="A205" t="str">
        <f>"8418555B59"</f>
        <v>8418555B59</v>
      </c>
      <c r="B205" t="str">
        <f t="shared" si="3"/>
        <v>06363391001</v>
      </c>
      <c r="C205" t="s">
        <v>16</v>
      </c>
      <c r="D205" t="s">
        <v>453</v>
      </c>
      <c r="E205" t="s">
        <v>56</v>
      </c>
      <c r="F205" s="1" t="s">
        <v>454</v>
      </c>
      <c r="G205" t="s">
        <v>455</v>
      </c>
      <c r="H205">
        <v>73349.72</v>
      </c>
      <c r="I205" s="2">
        <v>44422</v>
      </c>
      <c r="J205" s="2">
        <v>44390</v>
      </c>
      <c r="K205">
        <v>0</v>
      </c>
    </row>
    <row r="206" spans="1:11" x14ac:dyDescent="0.25">
      <c r="A206" t="str">
        <f>"8599086E3D"</f>
        <v>8599086E3D</v>
      </c>
      <c r="B206" t="str">
        <f t="shared" si="3"/>
        <v>06363391001</v>
      </c>
      <c r="C206" t="s">
        <v>16</v>
      </c>
      <c r="D206" t="s">
        <v>456</v>
      </c>
      <c r="E206" t="s">
        <v>18</v>
      </c>
      <c r="F206" s="1" t="s">
        <v>380</v>
      </c>
      <c r="G206" t="s">
        <v>381</v>
      </c>
      <c r="H206">
        <v>0</v>
      </c>
      <c r="I206" s="2">
        <v>44215</v>
      </c>
      <c r="J206" s="2">
        <v>44286</v>
      </c>
      <c r="K206">
        <v>16685.13</v>
      </c>
    </row>
    <row r="207" spans="1:11" x14ac:dyDescent="0.25">
      <c r="A207" t="str">
        <f>"8157303363"</f>
        <v>8157303363</v>
      </c>
      <c r="B207" t="str">
        <f t="shared" si="3"/>
        <v>06363391001</v>
      </c>
      <c r="C207" t="s">
        <v>16</v>
      </c>
      <c r="D207" t="s">
        <v>457</v>
      </c>
      <c r="E207" t="s">
        <v>56</v>
      </c>
      <c r="F207" s="1" t="s">
        <v>458</v>
      </c>
      <c r="G207" s="1" t="s">
        <v>459</v>
      </c>
      <c r="H207">
        <v>51844.89</v>
      </c>
      <c r="I207" s="2">
        <v>44216</v>
      </c>
      <c r="J207" s="2">
        <v>44274</v>
      </c>
      <c r="K207">
        <v>16175.62</v>
      </c>
    </row>
    <row r="208" spans="1:11" x14ac:dyDescent="0.25">
      <c r="A208" t="str">
        <f>"86104353BE"</f>
        <v>86104353BE</v>
      </c>
      <c r="B208" t="str">
        <f t="shared" si="3"/>
        <v>06363391001</v>
      </c>
      <c r="C208" t="s">
        <v>16</v>
      </c>
      <c r="D208" t="s">
        <v>460</v>
      </c>
      <c r="E208" t="s">
        <v>18</v>
      </c>
      <c r="F208" s="1" t="s">
        <v>380</v>
      </c>
      <c r="G208" t="s">
        <v>381</v>
      </c>
      <c r="H208">
        <v>0</v>
      </c>
      <c r="I208" s="2">
        <v>44223</v>
      </c>
      <c r="J208" s="2">
        <v>44255</v>
      </c>
      <c r="K208">
        <v>18935.96</v>
      </c>
    </row>
    <row r="209" spans="1:11" x14ac:dyDescent="0.25">
      <c r="A209" t="str">
        <f>"Z8B3069817"</f>
        <v>Z8B3069817</v>
      </c>
      <c r="B209" t="str">
        <f t="shared" si="3"/>
        <v>06363391001</v>
      </c>
      <c r="C209" t="s">
        <v>16</v>
      </c>
      <c r="D209" t="s">
        <v>461</v>
      </c>
      <c r="E209" t="s">
        <v>26</v>
      </c>
      <c r="F209" s="1" t="s">
        <v>462</v>
      </c>
      <c r="G209" t="s">
        <v>463</v>
      </c>
      <c r="H209">
        <v>4950</v>
      </c>
      <c r="I209" s="2">
        <v>44225</v>
      </c>
      <c r="J209" s="2">
        <v>44314</v>
      </c>
      <c r="K209">
        <v>3546.09</v>
      </c>
    </row>
    <row r="210" spans="1:11" x14ac:dyDescent="0.25">
      <c r="A210" t="str">
        <f>"ZEC307F9B6"</f>
        <v>ZEC307F9B6</v>
      </c>
      <c r="B210" t="str">
        <f t="shared" si="3"/>
        <v>06363391001</v>
      </c>
      <c r="C210" t="s">
        <v>16</v>
      </c>
      <c r="D210" t="s">
        <v>464</v>
      </c>
      <c r="E210" t="s">
        <v>26</v>
      </c>
      <c r="F210" s="1" t="s">
        <v>465</v>
      </c>
      <c r="G210" t="s">
        <v>466</v>
      </c>
      <c r="H210">
        <v>4250</v>
      </c>
      <c r="I210" s="2">
        <v>44230</v>
      </c>
      <c r="J210" s="2">
        <v>45324</v>
      </c>
      <c r="K210">
        <v>424.99</v>
      </c>
    </row>
    <row r="211" spans="1:11" x14ac:dyDescent="0.25">
      <c r="A211" t="str">
        <f>"861464993D"</f>
        <v>861464993D</v>
      </c>
      <c r="B211" t="str">
        <f t="shared" si="3"/>
        <v>06363391001</v>
      </c>
      <c r="C211" t="s">
        <v>16</v>
      </c>
      <c r="D211" t="s">
        <v>467</v>
      </c>
      <c r="E211" t="s">
        <v>18</v>
      </c>
      <c r="F211" s="1" t="s">
        <v>468</v>
      </c>
      <c r="G211" t="s">
        <v>452</v>
      </c>
      <c r="H211">
        <v>158931.85</v>
      </c>
      <c r="I211" s="2">
        <v>44228</v>
      </c>
      <c r="J211" s="2">
        <v>45869</v>
      </c>
      <c r="K211">
        <v>0</v>
      </c>
    </row>
    <row r="212" spans="1:11" x14ac:dyDescent="0.25">
      <c r="A212" t="str">
        <f>"Z253087780"</f>
        <v>Z253087780</v>
      </c>
      <c r="B212" t="str">
        <f t="shared" si="3"/>
        <v>06363391001</v>
      </c>
      <c r="C212" t="s">
        <v>16</v>
      </c>
      <c r="D212" t="s">
        <v>405</v>
      </c>
      <c r="E212" t="s">
        <v>26</v>
      </c>
      <c r="F212" s="1" t="s">
        <v>422</v>
      </c>
      <c r="G212" t="s">
        <v>423</v>
      </c>
      <c r="H212">
        <v>1168.96</v>
      </c>
      <c r="I212" s="2">
        <v>44234</v>
      </c>
      <c r="J212" s="2">
        <v>44598</v>
      </c>
      <c r="K212">
        <v>1124</v>
      </c>
    </row>
    <row r="213" spans="1:11" x14ac:dyDescent="0.25">
      <c r="A213" t="str">
        <f>"8608960289"</f>
        <v>8608960289</v>
      </c>
      <c r="B213" t="str">
        <f t="shared" si="3"/>
        <v>06363391001</v>
      </c>
      <c r="C213" t="s">
        <v>16</v>
      </c>
      <c r="D213" t="s">
        <v>469</v>
      </c>
      <c r="E213" t="s">
        <v>18</v>
      </c>
      <c r="F213" s="1" t="s">
        <v>82</v>
      </c>
      <c r="G213" t="s">
        <v>83</v>
      </c>
      <c r="H213">
        <v>0</v>
      </c>
      <c r="I213" s="2">
        <v>44287</v>
      </c>
      <c r="J213" s="2">
        <v>44834</v>
      </c>
      <c r="K213">
        <v>100267.19</v>
      </c>
    </row>
    <row r="214" spans="1:11" x14ac:dyDescent="0.25">
      <c r="A214" t="str">
        <f>"Z16308785C"</f>
        <v>Z16308785C</v>
      </c>
      <c r="B214" t="str">
        <f t="shared" si="3"/>
        <v>06363391001</v>
      </c>
      <c r="C214" t="s">
        <v>16</v>
      </c>
      <c r="D214" t="s">
        <v>470</v>
      </c>
      <c r="E214" t="s">
        <v>26</v>
      </c>
      <c r="F214" s="1" t="s">
        <v>471</v>
      </c>
      <c r="G214" t="s">
        <v>472</v>
      </c>
      <c r="H214">
        <v>990</v>
      </c>
      <c r="I214" s="2">
        <v>44235</v>
      </c>
      <c r="J214" s="2">
        <v>44377</v>
      </c>
      <c r="K214">
        <v>990</v>
      </c>
    </row>
    <row r="215" spans="1:11" x14ac:dyDescent="0.25">
      <c r="A215" t="str">
        <f>"Z47309D4E3"</f>
        <v>Z47309D4E3</v>
      </c>
      <c r="B215" t="str">
        <f t="shared" si="3"/>
        <v>06363391001</v>
      </c>
      <c r="C215" t="s">
        <v>16</v>
      </c>
      <c r="D215" t="s">
        <v>473</v>
      </c>
      <c r="E215" t="s">
        <v>26</v>
      </c>
      <c r="F215" s="1" t="s">
        <v>474</v>
      </c>
      <c r="G215" t="s">
        <v>475</v>
      </c>
      <c r="H215">
        <v>3300</v>
      </c>
      <c r="I215" s="2">
        <v>44242</v>
      </c>
      <c r="J215" s="2">
        <v>44249</v>
      </c>
      <c r="K215">
        <v>3300</v>
      </c>
    </row>
    <row r="216" spans="1:11" x14ac:dyDescent="0.25">
      <c r="A216" t="str">
        <f>"Z653087910"</f>
        <v>Z653087910</v>
      </c>
      <c r="B216" t="str">
        <f t="shared" si="3"/>
        <v>06363391001</v>
      </c>
      <c r="C216" t="s">
        <v>16</v>
      </c>
      <c r="D216" t="s">
        <v>476</v>
      </c>
      <c r="E216" t="s">
        <v>26</v>
      </c>
      <c r="F216" s="1" t="s">
        <v>477</v>
      </c>
      <c r="G216" t="s">
        <v>478</v>
      </c>
      <c r="H216">
        <v>4200</v>
      </c>
      <c r="I216" s="2">
        <v>44235</v>
      </c>
      <c r="J216" s="2">
        <v>44258</v>
      </c>
      <c r="K216">
        <v>4200</v>
      </c>
    </row>
    <row r="217" spans="1:11" x14ac:dyDescent="0.25">
      <c r="A217" t="str">
        <f>"85992326BB"</f>
        <v>85992326BB</v>
      </c>
      <c r="B217" t="str">
        <f t="shared" si="3"/>
        <v>06363391001</v>
      </c>
      <c r="C217" t="s">
        <v>16</v>
      </c>
      <c r="D217" t="s">
        <v>248</v>
      </c>
      <c r="E217" t="s">
        <v>18</v>
      </c>
      <c r="F217" s="1" t="s">
        <v>52</v>
      </c>
      <c r="G217" t="s">
        <v>53</v>
      </c>
      <c r="H217">
        <v>2064.12</v>
      </c>
      <c r="I217" s="2">
        <v>44219</v>
      </c>
      <c r="J217" s="2">
        <v>45315</v>
      </c>
      <c r="K217">
        <v>516.03</v>
      </c>
    </row>
    <row r="218" spans="1:11" x14ac:dyDescent="0.25">
      <c r="A218" t="str">
        <f>"866075591D"</f>
        <v>866075591D</v>
      </c>
      <c r="B218" t="str">
        <f t="shared" si="3"/>
        <v>06363391001</v>
      </c>
      <c r="C218" t="s">
        <v>16</v>
      </c>
      <c r="D218" t="s">
        <v>479</v>
      </c>
      <c r="E218" t="s">
        <v>18</v>
      </c>
      <c r="F218" s="1" t="s">
        <v>380</v>
      </c>
      <c r="G218" t="s">
        <v>381</v>
      </c>
      <c r="H218">
        <v>0</v>
      </c>
      <c r="I218" s="2">
        <v>44260</v>
      </c>
      <c r="J218" s="2">
        <v>44316</v>
      </c>
      <c r="K218">
        <v>16129.34</v>
      </c>
    </row>
    <row r="219" spans="1:11" x14ac:dyDescent="0.25">
      <c r="A219" t="str">
        <f>"ZA130DD052"</f>
        <v>ZA130DD052</v>
      </c>
      <c r="B219" t="str">
        <f t="shared" si="3"/>
        <v>06363391001</v>
      </c>
      <c r="C219" t="s">
        <v>16</v>
      </c>
      <c r="D219" t="s">
        <v>480</v>
      </c>
      <c r="E219" t="s">
        <v>26</v>
      </c>
      <c r="F219" s="1" t="s">
        <v>481</v>
      </c>
      <c r="G219" t="s">
        <v>482</v>
      </c>
      <c r="H219">
        <v>3388</v>
      </c>
      <c r="I219" s="2">
        <v>44260</v>
      </c>
      <c r="J219" s="2">
        <v>44267</v>
      </c>
      <c r="K219">
        <v>3388</v>
      </c>
    </row>
    <row r="220" spans="1:11" x14ac:dyDescent="0.25">
      <c r="A220" t="str">
        <f>"8456091B09"</f>
        <v>8456091B09</v>
      </c>
      <c r="B220" t="str">
        <f t="shared" si="3"/>
        <v>06363391001</v>
      </c>
      <c r="C220" t="s">
        <v>16</v>
      </c>
      <c r="D220" t="s">
        <v>483</v>
      </c>
      <c r="E220" t="s">
        <v>56</v>
      </c>
      <c r="F220" s="1" t="s">
        <v>484</v>
      </c>
      <c r="G220" t="s">
        <v>58</v>
      </c>
      <c r="H220">
        <v>43998</v>
      </c>
      <c r="I220" s="2">
        <v>44263</v>
      </c>
      <c r="J220" s="2">
        <v>44992</v>
      </c>
      <c r="K220">
        <v>0</v>
      </c>
    </row>
    <row r="221" spans="1:11" x14ac:dyDescent="0.25">
      <c r="A221" t="str">
        <f>"7579072013"</f>
        <v>7579072013</v>
      </c>
      <c r="B221" t="str">
        <f t="shared" si="3"/>
        <v>06363391001</v>
      </c>
      <c r="C221" t="s">
        <v>16</v>
      </c>
      <c r="D221" t="s">
        <v>485</v>
      </c>
      <c r="E221" t="s">
        <v>63</v>
      </c>
      <c r="F221" s="1" t="s">
        <v>486</v>
      </c>
      <c r="G221" t="s">
        <v>487</v>
      </c>
      <c r="H221">
        <v>1416158.17</v>
      </c>
      <c r="I221" s="2">
        <v>44244</v>
      </c>
      <c r="J221" s="2">
        <v>45704</v>
      </c>
      <c r="K221">
        <v>0</v>
      </c>
    </row>
    <row r="222" spans="1:11" x14ac:dyDescent="0.25">
      <c r="A222" t="str">
        <f>"7579078505"</f>
        <v>7579078505</v>
      </c>
      <c r="B222" t="str">
        <f t="shared" si="3"/>
        <v>06363391001</v>
      </c>
      <c r="C222" t="s">
        <v>16</v>
      </c>
      <c r="D222" t="s">
        <v>488</v>
      </c>
      <c r="E222" t="s">
        <v>63</v>
      </c>
      <c r="F222" s="1" t="s">
        <v>489</v>
      </c>
      <c r="G222" t="s">
        <v>487</v>
      </c>
      <c r="H222">
        <v>1042418.68</v>
      </c>
      <c r="I222" s="2">
        <v>44244</v>
      </c>
      <c r="J222" s="2">
        <v>45704</v>
      </c>
      <c r="K222">
        <v>0</v>
      </c>
    </row>
    <row r="223" spans="1:11" x14ac:dyDescent="0.25">
      <c r="A223" t="str">
        <f>"757908177E"</f>
        <v>757908177E</v>
      </c>
      <c r="B223" t="str">
        <f t="shared" si="3"/>
        <v>06363391001</v>
      </c>
      <c r="C223" t="s">
        <v>16</v>
      </c>
      <c r="D223" t="s">
        <v>490</v>
      </c>
      <c r="E223" t="s">
        <v>63</v>
      </c>
      <c r="F223" s="1" t="s">
        <v>491</v>
      </c>
      <c r="G223" t="s">
        <v>487</v>
      </c>
      <c r="H223">
        <v>966188.35</v>
      </c>
      <c r="I223" s="2">
        <v>44244</v>
      </c>
      <c r="J223" s="2">
        <v>45704</v>
      </c>
      <c r="K223">
        <v>0</v>
      </c>
    </row>
    <row r="224" spans="1:11" x14ac:dyDescent="0.25">
      <c r="A224" t="str">
        <f>"75790741B9"</f>
        <v>75790741B9</v>
      </c>
      <c r="B224" t="str">
        <f t="shared" si="3"/>
        <v>06363391001</v>
      </c>
      <c r="C224" t="s">
        <v>16</v>
      </c>
      <c r="D224" t="s">
        <v>492</v>
      </c>
      <c r="E224" t="s">
        <v>63</v>
      </c>
      <c r="F224" s="1" t="s">
        <v>493</v>
      </c>
      <c r="G224" t="s">
        <v>494</v>
      </c>
      <c r="H224">
        <v>1582849.44</v>
      </c>
      <c r="I224" s="2">
        <v>44244</v>
      </c>
      <c r="J224" s="2">
        <v>45704</v>
      </c>
      <c r="K224">
        <v>0</v>
      </c>
    </row>
    <row r="225" spans="1:11" x14ac:dyDescent="0.25">
      <c r="A225" t="str">
        <f>"757907635F"</f>
        <v>757907635F</v>
      </c>
      <c r="B225" t="str">
        <f t="shared" si="3"/>
        <v>06363391001</v>
      </c>
      <c r="C225" t="s">
        <v>16</v>
      </c>
      <c r="D225" t="s">
        <v>495</v>
      </c>
      <c r="E225" t="s">
        <v>63</v>
      </c>
      <c r="F225" s="1" t="s">
        <v>496</v>
      </c>
      <c r="G225" t="s">
        <v>497</v>
      </c>
      <c r="H225">
        <v>1560180.77</v>
      </c>
      <c r="I225" s="2">
        <v>44257</v>
      </c>
      <c r="J225" s="2">
        <v>45717</v>
      </c>
      <c r="K225">
        <v>0</v>
      </c>
    </row>
    <row r="226" spans="1:11" x14ac:dyDescent="0.25">
      <c r="A226" t="str">
        <f>"7579077432"</f>
        <v>7579077432</v>
      </c>
      <c r="B226" t="str">
        <f t="shared" si="3"/>
        <v>06363391001</v>
      </c>
      <c r="C226" t="s">
        <v>16</v>
      </c>
      <c r="D226" t="s">
        <v>498</v>
      </c>
      <c r="E226" t="s">
        <v>63</v>
      </c>
      <c r="F226" s="1" t="s">
        <v>499</v>
      </c>
      <c r="G226" t="s">
        <v>497</v>
      </c>
      <c r="H226">
        <v>1513966.94</v>
      </c>
      <c r="I226" s="2">
        <v>44257</v>
      </c>
      <c r="J226" s="2">
        <v>44265</v>
      </c>
      <c r="K226">
        <v>0</v>
      </c>
    </row>
    <row r="227" spans="1:11" x14ac:dyDescent="0.25">
      <c r="A227" t="str">
        <f>"8625017530"</f>
        <v>8625017530</v>
      </c>
      <c r="B227" t="str">
        <f t="shared" si="3"/>
        <v>06363391001</v>
      </c>
      <c r="C227" t="s">
        <v>16</v>
      </c>
      <c r="D227" t="s">
        <v>500</v>
      </c>
      <c r="E227" t="s">
        <v>18</v>
      </c>
      <c r="F227" s="1" t="s">
        <v>501</v>
      </c>
      <c r="G227" t="s">
        <v>494</v>
      </c>
      <c r="H227">
        <v>82796.479999999996</v>
      </c>
      <c r="I227" s="2">
        <v>44238</v>
      </c>
      <c r="J227" s="2">
        <v>44602</v>
      </c>
      <c r="K227">
        <v>72401.66</v>
      </c>
    </row>
    <row r="228" spans="1:11" x14ac:dyDescent="0.25">
      <c r="A228" t="str">
        <f>"8660782F63"</f>
        <v>8660782F63</v>
      </c>
      <c r="B228" t="str">
        <f t="shared" si="3"/>
        <v>06363391001</v>
      </c>
      <c r="C228" t="s">
        <v>16</v>
      </c>
      <c r="D228" t="s">
        <v>502</v>
      </c>
      <c r="E228" t="s">
        <v>18</v>
      </c>
      <c r="F228" s="1" t="s">
        <v>30</v>
      </c>
      <c r="G228" t="s">
        <v>31</v>
      </c>
      <c r="H228">
        <v>0</v>
      </c>
      <c r="I228" s="2">
        <v>44378</v>
      </c>
      <c r="J228" s="2">
        <v>44742</v>
      </c>
      <c r="K228">
        <v>4141.25</v>
      </c>
    </row>
    <row r="229" spans="1:11" x14ac:dyDescent="0.25">
      <c r="A229" t="str">
        <f>"Z7630ECF6B"</f>
        <v>Z7630ECF6B</v>
      </c>
      <c r="B229" t="str">
        <f t="shared" si="3"/>
        <v>06363391001</v>
      </c>
      <c r="C229" t="s">
        <v>16</v>
      </c>
      <c r="D229" t="s">
        <v>503</v>
      </c>
      <c r="E229" t="s">
        <v>26</v>
      </c>
      <c r="F229" s="1" t="s">
        <v>504</v>
      </c>
      <c r="G229" t="s">
        <v>505</v>
      </c>
      <c r="H229">
        <v>1225.5</v>
      </c>
      <c r="I229" s="2">
        <v>44264</v>
      </c>
      <c r="J229" s="2">
        <v>44326</v>
      </c>
      <c r="K229">
        <v>1225.5</v>
      </c>
    </row>
    <row r="230" spans="1:11" x14ac:dyDescent="0.25">
      <c r="A230" t="str">
        <f>"Z9930ECF0C"</f>
        <v>Z9930ECF0C</v>
      </c>
      <c r="B230" t="str">
        <f t="shared" si="3"/>
        <v>06363391001</v>
      </c>
      <c r="C230" t="s">
        <v>16</v>
      </c>
      <c r="D230" t="s">
        <v>506</v>
      </c>
      <c r="E230" t="s">
        <v>26</v>
      </c>
      <c r="F230" s="1" t="s">
        <v>27</v>
      </c>
      <c r="G230" t="s">
        <v>28</v>
      </c>
      <c r="H230">
        <v>526.20000000000005</v>
      </c>
      <c r="I230" s="2">
        <v>44264</v>
      </c>
      <c r="J230" s="2">
        <v>44285</v>
      </c>
      <c r="K230">
        <v>526.20000000000005</v>
      </c>
    </row>
    <row r="231" spans="1:11" x14ac:dyDescent="0.25">
      <c r="A231" t="str">
        <f>"Z4330AF50C"</f>
        <v>Z4330AF50C</v>
      </c>
      <c r="B231" t="str">
        <f t="shared" si="3"/>
        <v>06363391001</v>
      </c>
      <c r="C231" t="s">
        <v>16</v>
      </c>
      <c r="D231" t="s">
        <v>507</v>
      </c>
      <c r="E231" t="s">
        <v>26</v>
      </c>
      <c r="F231" s="1" t="s">
        <v>508</v>
      </c>
      <c r="G231" t="s">
        <v>509</v>
      </c>
      <c r="H231">
        <v>2560</v>
      </c>
      <c r="I231" s="2">
        <v>44245</v>
      </c>
      <c r="J231" s="2">
        <v>44302</v>
      </c>
      <c r="K231">
        <v>2560</v>
      </c>
    </row>
    <row r="232" spans="1:11" x14ac:dyDescent="0.25">
      <c r="A232" t="str">
        <f>"82647764E9"</f>
        <v>82647764E9</v>
      </c>
      <c r="B232" t="str">
        <f t="shared" si="3"/>
        <v>06363391001</v>
      </c>
      <c r="C232" t="s">
        <v>16</v>
      </c>
      <c r="D232" t="s">
        <v>510</v>
      </c>
      <c r="E232" t="s">
        <v>63</v>
      </c>
      <c r="F232" s="1" t="s">
        <v>511</v>
      </c>
      <c r="G232" t="s">
        <v>512</v>
      </c>
      <c r="H232">
        <v>1264660.8500000001</v>
      </c>
      <c r="I232" s="2">
        <v>44230</v>
      </c>
      <c r="J232" s="2">
        <v>44959</v>
      </c>
      <c r="K232">
        <v>0</v>
      </c>
    </row>
    <row r="233" spans="1:11" x14ac:dyDescent="0.25">
      <c r="A233" t="str">
        <f>"ZDD311C2B0"</f>
        <v>ZDD311C2B0</v>
      </c>
      <c r="B233" t="str">
        <f t="shared" si="3"/>
        <v>06363391001</v>
      </c>
      <c r="C233" t="s">
        <v>16</v>
      </c>
      <c r="D233" t="s">
        <v>513</v>
      </c>
      <c r="E233" t="s">
        <v>26</v>
      </c>
      <c r="F233" s="1" t="s">
        <v>514</v>
      </c>
      <c r="G233" t="s">
        <v>515</v>
      </c>
      <c r="H233">
        <v>128</v>
      </c>
      <c r="I233" s="2">
        <v>44281</v>
      </c>
      <c r="J233" s="2">
        <v>44327</v>
      </c>
      <c r="K233">
        <v>128</v>
      </c>
    </row>
    <row r="234" spans="1:11" x14ac:dyDescent="0.25">
      <c r="A234" t="str">
        <f>"Z8B30FB791"</f>
        <v>Z8B30FB791</v>
      </c>
      <c r="B234" t="str">
        <f t="shared" si="3"/>
        <v>06363391001</v>
      </c>
      <c r="C234" t="s">
        <v>16</v>
      </c>
      <c r="D234" t="s">
        <v>516</v>
      </c>
      <c r="E234" t="s">
        <v>26</v>
      </c>
      <c r="F234" s="1" t="s">
        <v>397</v>
      </c>
      <c r="G234" t="s">
        <v>398</v>
      </c>
      <c r="H234">
        <v>4000</v>
      </c>
      <c r="I234" s="2">
        <v>44316</v>
      </c>
      <c r="J234" s="2">
        <v>44680</v>
      </c>
      <c r="K234">
        <v>4000</v>
      </c>
    </row>
    <row r="235" spans="1:11" x14ac:dyDescent="0.25">
      <c r="A235" t="str">
        <f>"8687851173"</f>
        <v>8687851173</v>
      </c>
      <c r="B235" t="str">
        <f t="shared" si="3"/>
        <v>06363391001</v>
      </c>
      <c r="C235" t="s">
        <v>16</v>
      </c>
      <c r="D235" t="s">
        <v>517</v>
      </c>
      <c r="E235" t="s">
        <v>18</v>
      </c>
      <c r="F235" s="1" t="s">
        <v>380</v>
      </c>
      <c r="G235" t="s">
        <v>381</v>
      </c>
      <c r="H235">
        <v>0</v>
      </c>
      <c r="I235" s="2">
        <v>44284</v>
      </c>
      <c r="J235" s="2">
        <v>44316</v>
      </c>
      <c r="K235">
        <v>12127.5</v>
      </c>
    </row>
    <row r="236" spans="1:11" x14ac:dyDescent="0.25">
      <c r="A236" t="str">
        <f>"Z783120888"</f>
        <v>Z783120888</v>
      </c>
      <c r="B236" t="str">
        <f t="shared" si="3"/>
        <v>06363391001</v>
      </c>
      <c r="C236" t="s">
        <v>16</v>
      </c>
      <c r="D236" t="s">
        <v>518</v>
      </c>
      <c r="E236" t="s">
        <v>26</v>
      </c>
      <c r="F236" s="1" t="s">
        <v>519</v>
      </c>
      <c r="G236" t="s">
        <v>520</v>
      </c>
      <c r="H236">
        <v>6980</v>
      </c>
      <c r="I236" s="2">
        <v>44285</v>
      </c>
      <c r="J236" s="2">
        <v>44469</v>
      </c>
      <c r="K236">
        <v>6980</v>
      </c>
    </row>
    <row r="237" spans="1:11" x14ac:dyDescent="0.25">
      <c r="A237" t="str">
        <f>"Z4F30DF025"</f>
        <v>Z4F30DF025</v>
      </c>
      <c r="B237" t="str">
        <f t="shared" si="3"/>
        <v>06363391001</v>
      </c>
      <c r="C237" t="s">
        <v>16</v>
      </c>
      <c r="D237" t="s">
        <v>521</v>
      </c>
      <c r="E237" t="s">
        <v>26</v>
      </c>
      <c r="F237" s="1" t="s">
        <v>522</v>
      </c>
      <c r="G237" t="s">
        <v>523</v>
      </c>
      <c r="H237">
        <v>36955.96</v>
      </c>
      <c r="I237" s="2">
        <v>44285</v>
      </c>
      <c r="J237" s="2">
        <v>44305</v>
      </c>
      <c r="K237">
        <v>36955.96</v>
      </c>
    </row>
    <row r="238" spans="1:11" x14ac:dyDescent="0.25">
      <c r="A238" t="str">
        <f>"ZD9313A7EC"</f>
        <v>ZD9313A7EC</v>
      </c>
      <c r="B238" t="str">
        <f t="shared" si="3"/>
        <v>06363391001</v>
      </c>
      <c r="C238" t="s">
        <v>16</v>
      </c>
      <c r="D238" t="s">
        <v>524</v>
      </c>
      <c r="E238" t="s">
        <v>26</v>
      </c>
      <c r="F238" s="1" t="s">
        <v>525</v>
      </c>
      <c r="G238" t="s">
        <v>526</v>
      </c>
      <c r="H238">
        <v>24000</v>
      </c>
      <c r="I238" s="2">
        <v>44288</v>
      </c>
      <c r="J238" s="2">
        <v>44305</v>
      </c>
      <c r="K238">
        <v>24000</v>
      </c>
    </row>
    <row r="239" spans="1:11" x14ac:dyDescent="0.25">
      <c r="A239" t="str">
        <f>"Z6931196AD"</f>
        <v>Z6931196AD</v>
      </c>
      <c r="B239" t="str">
        <f t="shared" si="3"/>
        <v>06363391001</v>
      </c>
      <c r="C239" t="s">
        <v>16</v>
      </c>
      <c r="D239" t="s">
        <v>527</v>
      </c>
      <c r="E239" t="s">
        <v>26</v>
      </c>
      <c r="F239" s="1" t="s">
        <v>528</v>
      </c>
      <c r="G239" t="s">
        <v>529</v>
      </c>
      <c r="H239">
        <v>16500</v>
      </c>
      <c r="I239" s="2">
        <v>44298</v>
      </c>
      <c r="J239" s="2">
        <v>44469</v>
      </c>
      <c r="K239">
        <v>16500</v>
      </c>
    </row>
    <row r="240" spans="1:11" x14ac:dyDescent="0.25">
      <c r="A240" t="str">
        <f>"Z4A314E354"</f>
        <v>Z4A314E354</v>
      </c>
      <c r="B240" t="str">
        <f t="shared" si="3"/>
        <v>06363391001</v>
      </c>
      <c r="C240" t="s">
        <v>16</v>
      </c>
      <c r="D240" t="s">
        <v>530</v>
      </c>
      <c r="E240" t="s">
        <v>26</v>
      </c>
      <c r="F240" s="1" t="s">
        <v>531</v>
      </c>
      <c r="G240" t="s">
        <v>532</v>
      </c>
      <c r="H240">
        <v>164</v>
      </c>
      <c r="I240" s="2">
        <v>44298</v>
      </c>
      <c r="J240" s="2">
        <v>44481</v>
      </c>
      <c r="K240">
        <v>164</v>
      </c>
    </row>
    <row r="241" spans="1:11" x14ac:dyDescent="0.25">
      <c r="A241" t="str">
        <f>"ZAB316E8B0"</f>
        <v>ZAB316E8B0</v>
      </c>
      <c r="B241" t="str">
        <f t="shared" si="3"/>
        <v>06363391001</v>
      </c>
      <c r="C241" t="s">
        <v>16</v>
      </c>
      <c r="D241" t="s">
        <v>533</v>
      </c>
      <c r="E241" t="s">
        <v>26</v>
      </c>
      <c r="F241" s="1" t="s">
        <v>534</v>
      </c>
      <c r="G241" t="s">
        <v>535</v>
      </c>
      <c r="H241">
        <v>0</v>
      </c>
      <c r="I241" s="2">
        <v>44305</v>
      </c>
      <c r="J241" s="2">
        <v>44337</v>
      </c>
      <c r="K241">
        <v>1180</v>
      </c>
    </row>
    <row r="242" spans="1:11" x14ac:dyDescent="0.25">
      <c r="A242" t="str">
        <f>"Z28314E2FD"</f>
        <v>Z28314E2FD</v>
      </c>
      <c r="B242" t="str">
        <f t="shared" si="3"/>
        <v>06363391001</v>
      </c>
      <c r="C242" t="s">
        <v>16</v>
      </c>
      <c r="D242" t="s">
        <v>536</v>
      </c>
      <c r="E242" t="s">
        <v>26</v>
      </c>
      <c r="F242" s="1" t="s">
        <v>537</v>
      </c>
      <c r="G242" t="s">
        <v>538</v>
      </c>
      <c r="H242">
        <v>410.2</v>
      </c>
      <c r="I242" s="2">
        <v>44306</v>
      </c>
      <c r="J242" s="2">
        <v>44347</v>
      </c>
      <c r="K242">
        <v>410.2</v>
      </c>
    </row>
    <row r="243" spans="1:11" x14ac:dyDescent="0.25">
      <c r="A243" t="str">
        <f>"85121310B8"</f>
        <v>85121310B8</v>
      </c>
      <c r="B243" t="str">
        <f t="shared" si="3"/>
        <v>06363391001</v>
      </c>
      <c r="C243" t="s">
        <v>16</v>
      </c>
      <c r="D243" t="s">
        <v>55</v>
      </c>
      <c r="E243" t="s">
        <v>56</v>
      </c>
      <c r="F243" s="1" t="s">
        <v>539</v>
      </c>
      <c r="G243" t="s">
        <v>58</v>
      </c>
      <c r="H243">
        <v>140000</v>
      </c>
      <c r="I243" s="2">
        <v>44312</v>
      </c>
      <c r="J243" s="2">
        <v>45407</v>
      </c>
      <c r="K243">
        <v>16969.009999999998</v>
      </c>
    </row>
    <row r="244" spans="1:11" x14ac:dyDescent="0.25">
      <c r="A244" t="str">
        <f>"ZE13189BDD"</f>
        <v>ZE13189BDD</v>
      </c>
      <c r="B244" t="str">
        <f t="shared" si="3"/>
        <v>06363391001</v>
      </c>
      <c r="C244" t="s">
        <v>16</v>
      </c>
      <c r="D244" t="s">
        <v>540</v>
      </c>
      <c r="E244" t="s">
        <v>26</v>
      </c>
      <c r="F244" s="1" t="s">
        <v>541</v>
      </c>
      <c r="G244" t="s">
        <v>542</v>
      </c>
      <c r="H244">
        <v>18000</v>
      </c>
      <c r="I244" s="2">
        <v>44329</v>
      </c>
      <c r="J244" s="2">
        <v>44695</v>
      </c>
      <c r="K244">
        <v>1000</v>
      </c>
    </row>
    <row r="245" spans="1:11" x14ac:dyDescent="0.25">
      <c r="A245" t="str">
        <f>"Z74318911D"</f>
        <v>Z74318911D</v>
      </c>
      <c r="B245" t="str">
        <f t="shared" si="3"/>
        <v>06363391001</v>
      </c>
      <c r="C245" t="s">
        <v>16</v>
      </c>
      <c r="D245" t="s">
        <v>543</v>
      </c>
      <c r="E245" t="s">
        <v>26</v>
      </c>
      <c r="F245" s="1" t="s">
        <v>544</v>
      </c>
      <c r="G245" t="s">
        <v>545</v>
      </c>
      <c r="H245">
        <v>1192</v>
      </c>
      <c r="I245" s="2">
        <v>44334</v>
      </c>
      <c r="J245" s="2">
        <v>44370</v>
      </c>
      <c r="K245">
        <v>1192</v>
      </c>
    </row>
    <row r="246" spans="1:11" x14ac:dyDescent="0.25">
      <c r="A246" t="str">
        <f>"Z3C3154586"</f>
        <v>Z3C3154586</v>
      </c>
      <c r="B246" t="str">
        <f t="shared" si="3"/>
        <v>06363391001</v>
      </c>
      <c r="C246" t="s">
        <v>16</v>
      </c>
      <c r="D246" t="s">
        <v>546</v>
      </c>
      <c r="E246" t="s">
        <v>26</v>
      </c>
      <c r="F246" s="1" t="s">
        <v>547</v>
      </c>
      <c r="G246" t="s">
        <v>548</v>
      </c>
      <c r="H246">
        <v>1052</v>
      </c>
      <c r="I246" s="2">
        <v>44299</v>
      </c>
      <c r="J246" s="2">
        <v>44327</v>
      </c>
      <c r="K246">
        <v>1052</v>
      </c>
    </row>
    <row r="247" spans="1:11" x14ac:dyDescent="0.25">
      <c r="A247" t="str">
        <f>"Z0031A92FD"</f>
        <v>Z0031A92FD</v>
      </c>
      <c r="B247" t="str">
        <f t="shared" si="3"/>
        <v>06363391001</v>
      </c>
      <c r="C247" t="s">
        <v>16</v>
      </c>
      <c r="D247" t="s">
        <v>549</v>
      </c>
      <c r="E247" t="s">
        <v>26</v>
      </c>
      <c r="F247" s="1" t="s">
        <v>550</v>
      </c>
      <c r="G247" t="s">
        <v>551</v>
      </c>
      <c r="H247">
        <v>400</v>
      </c>
      <c r="I247" s="2">
        <v>44326</v>
      </c>
      <c r="J247" s="2">
        <v>44561</v>
      </c>
      <c r="K247">
        <v>0</v>
      </c>
    </row>
    <row r="248" spans="1:11" x14ac:dyDescent="0.25">
      <c r="A248" t="str">
        <f>"ZE431A92AC"</f>
        <v>ZE431A92AC</v>
      </c>
      <c r="B248" t="str">
        <f t="shared" si="3"/>
        <v>06363391001</v>
      </c>
      <c r="C248" t="s">
        <v>16</v>
      </c>
      <c r="D248" t="s">
        <v>552</v>
      </c>
      <c r="E248" t="s">
        <v>26</v>
      </c>
      <c r="F248" s="1" t="s">
        <v>553</v>
      </c>
      <c r="G248" t="s">
        <v>554</v>
      </c>
      <c r="H248">
        <v>27127</v>
      </c>
      <c r="I248" s="2">
        <v>44326</v>
      </c>
      <c r="J248" s="2">
        <v>44690</v>
      </c>
      <c r="K248">
        <v>0</v>
      </c>
    </row>
    <row r="249" spans="1:11" x14ac:dyDescent="0.25">
      <c r="A249" t="str">
        <f>"8738761DB2"</f>
        <v>8738761DB2</v>
      </c>
      <c r="B249" t="str">
        <f t="shared" si="3"/>
        <v>06363391001</v>
      </c>
      <c r="C249" t="s">
        <v>16</v>
      </c>
      <c r="D249" t="s">
        <v>555</v>
      </c>
      <c r="E249" t="s">
        <v>56</v>
      </c>
      <c r="F249" s="1" t="s">
        <v>134</v>
      </c>
      <c r="G249" t="s">
        <v>135</v>
      </c>
      <c r="H249">
        <v>386000</v>
      </c>
      <c r="I249" s="2">
        <v>44327</v>
      </c>
      <c r="J249" s="2">
        <v>45056</v>
      </c>
      <c r="K249">
        <v>48250</v>
      </c>
    </row>
    <row r="250" spans="1:11" x14ac:dyDescent="0.25">
      <c r="A250" t="str">
        <f>"Z6331C73A1"</f>
        <v>Z6331C73A1</v>
      </c>
      <c r="B250" t="str">
        <f t="shared" si="3"/>
        <v>06363391001</v>
      </c>
      <c r="C250" t="s">
        <v>16</v>
      </c>
      <c r="D250" t="s">
        <v>556</v>
      </c>
      <c r="E250" t="s">
        <v>26</v>
      </c>
      <c r="F250" s="1" t="s">
        <v>557</v>
      </c>
      <c r="G250" t="s">
        <v>558</v>
      </c>
      <c r="H250">
        <v>4700</v>
      </c>
      <c r="I250" s="2">
        <v>44333</v>
      </c>
      <c r="J250" s="2">
        <v>44561</v>
      </c>
      <c r="K250">
        <v>3767</v>
      </c>
    </row>
    <row r="251" spans="1:11" x14ac:dyDescent="0.25">
      <c r="A251" t="str">
        <f>"Z6D31C745D"</f>
        <v>Z6D31C745D</v>
      </c>
      <c r="B251" t="str">
        <f t="shared" si="3"/>
        <v>06363391001</v>
      </c>
      <c r="C251" t="s">
        <v>16</v>
      </c>
      <c r="D251" t="s">
        <v>405</v>
      </c>
      <c r="E251" t="s">
        <v>26</v>
      </c>
      <c r="F251" s="1" t="s">
        <v>559</v>
      </c>
      <c r="G251" t="s">
        <v>560</v>
      </c>
      <c r="H251">
        <v>9930.01</v>
      </c>
      <c r="I251" s="2">
        <v>44333</v>
      </c>
      <c r="J251" s="2">
        <v>45428</v>
      </c>
      <c r="K251">
        <v>9594.27</v>
      </c>
    </row>
    <row r="252" spans="1:11" x14ac:dyDescent="0.25">
      <c r="A252" t="str">
        <f>"ZEB31C7402"</f>
        <v>ZEB31C7402</v>
      </c>
      <c r="B252" t="str">
        <f t="shared" si="3"/>
        <v>06363391001</v>
      </c>
      <c r="C252" t="s">
        <v>16</v>
      </c>
      <c r="D252" t="s">
        <v>561</v>
      </c>
      <c r="E252" t="s">
        <v>26</v>
      </c>
      <c r="F252" s="1" t="s">
        <v>562</v>
      </c>
      <c r="G252" t="s">
        <v>563</v>
      </c>
      <c r="H252">
        <v>5346</v>
      </c>
      <c r="I252" s="2">
        <v>44328</v>
      </c>
      <c r="J252" s="2">
        <v>44561</v>
      </c>
      <c r="K252">
        <v>0</v>
      </c>
    </row>
    <row r="253" spans="1:11" x14ac:dyDescent="0.25">
      <c r="A253" t="str">
        <f>"ZC8316E8A9"</f>
        <v>ZC8316E8A9</v>
      </c>
      <c r="B253" t="str">
        <f t="shared" si="3"/>
        <v>06363391001</v>
      </c>
      <c r="C253" t="s">
        <v>16</v>
      </c>
      <c r="D253" t="s">
        <v>533</v>
      </c>
      <c r="E253" t="s">
        <v>26</v>
      </c>
      <c r="F253" s="1" t="s">
        <v>564</v>
      </c>
      <c r="G253" t="s">
        <v>565</v>
      </c>
      <c r="H253">
        <v>1000</v>
      </c>
      <c r="I253" s="2">
        <v>44306</v>
      </c>
      <c r="J253" s="2">
        <v>44338</v>
      </c>
      <c r="K253">
        <v>486</v>
      </c>
    </row>
    <row r="254" spans="1:11" x14ac:dyDescent="0.25">
      <c r="A254" t="str">
        <f>"8728618B6E"</f>
        <v>8728618B6E</v>
      </c>
      <c r="B254" t="str">
        <f t="shared" si="3"/>
        <v>06363391001</v>
      </c>
      <c r="C254" t="s">
        <v>16</v>
      </c>
      <c r="D254" t="s">
        <v>566</v>
      </c>
      <c r="E254" t="s">
        <v>18</v>
      </c>
      <c r="F254" s="1" t="s">
        <v>567</v>
      </c>
      <c r="G254" s="1" t="s">
        <v>567</v>
      </c>
      <c r="H254">
        <v>252283.76</v>
      </c>
      <c r="I254" s="2">
        <v>44348</v>
      </c>
      <c r="J254" s="2">
        <v>45443</v>
      </c>
      <c r="K254">
        <v>16275.65</v>
      </c>
    </row>
    <row r="255" spans="1:11" x14ac:dyDescent="0.25">
      <c r="A255" t="str">
        <f>"877366623A"</f>
        <v>877366623A</v>
      </c>
      <c r="B255" t="str">
        <f t="shared" si="3"/>
        <v>06363391001</v>
      </c>
      <c r="C255" t="s">
        <v>16</v>
      </c>
      <c r="D255" t="s">
        <v>568</v>
      </c>
      <c r="E255" t="s">
        <v>18</v>
      </c>
      <c r="F255" s="1" t="s">
        <v>82</v>
      </c>
      <c r="G255" t="s">
        <v>83</v>
      </c>
      <c r="H255">
        <v>0</v>
      </c>
      <c r="I255" s="2">
        <v>44409</v>
      </c>
      <c r="J255" s="2">
        <v>44895</v>
      </c>
      <c r="K255">
        <v>125049.72</v>
      </c>
    </row>
    <row r="256" spans="1:11" x14ac:dyDescent="0.25">
      <c r="A256" t="str">
        <f>"8727657266"</f>
        <v>8727657266</v>
      </c>
      <c r="B256" t="str">
        <f t="shared" si="3"/>
        <v>06363391001</v>
      </c>
      <c r="C256" t="s">
        <v>16</v>
      </c>
      <c r="D256" t="s">
        <v>569</v>
      </c>
      <c r="E256" t="s">
        <v>26</v>
      </c>
      <c r="F256" s="1" t="s">
        <v>570</v>
      </c>
      <c r="G256" t="s">
        <v>328</v>
      </c>
      <c r="H256">
        <v>57739.11</v>
      </c>
      <c r="I256" s="2">
        <v>44317</v>
      </c>
      <c r="J256" s="2">
        <v>44469</v>
      </c>
      <c r="K256">
        <v>37066.379999999997</v>
      </c>
    </row>
    <row r="257" spans="1:11" x14ac:dyDescent="0.25">
      <c r="A257" t="str">
        <f>"ZA53184228"</f>
        <v>ZA53184228</v>
      </c>
      <c r="B257" t="str">
        <f t="shared" si="3"/>
        <v>06363391001</v>
      </c>
      <c r="C257" t="s">
        <v>16</v>
      </c>
      <c r="D257" t="s">
        <v>571</v>
      </c>
      <c r="E257" t="s">
        <v>26</v>
      </c>
      <c r="F257" s="1" t="s">
        <v>572</v>
      </c>
      <c r="G257" t="s">
        <v>573</v>
      </c>
      <c r="H257">
        <v>16222.78</v>
      </c>
      <c r="I257" s="2">
        <v>44317</v>
      </c>
      <c r="J257" s="2">
        <v>44592</v>
      </c>
      <c r="K257">
        <v>4259.18</v>
      </c>
    </row>
    <row r="258" spans="1:11" x14ac:dyDescent="0.25">
      <c r="A258" t="str">
        <f>"Z3831EF11C"</f>
        <v>Z3831EF11C</v>
      </c>
      <c r="B258" t="str">
        <f t="shared" si="3"/>
        <v>06363391001</v>
      </c>
      <c r="C258" t="s">
        <v>16</v>
      </c>
      <c r="D258" t="s">
        <v>574</v>
      </c>
      <c r="E258" t="s">
        <v>26</v>
      </c>
      <c r="F258" s="1" t="s">
        <v>575</v>
      </c>
      <c r="G258" t="s">
        <v>576</v>
      </c>
      <c r="H258">
        <v>19194</v>
      </c>
      <c r="I258" s="2">
        <v>44347</v>
      </c>
      <c r="J258" s="2">
        <v>44415</v>
      </c>
      <c r="K258">
        <v>0</v>
      </c>
    </row>
    <row r="259" spans="1:11" x14ac:dyDescent="0.25">
      <c r="A259" t="str">
        <f>"Z87312ED1A"</f>
        <v>Z87312ED1A</v>
      </c>
      <c r="B259" t="str">
        <f t="shared" ref="B259:B322" si="4">"06363391001"</f>
        <v>06363391001</v>
      </c>
      <c r="C259" t="s">
        <v>16</v>
      </c>
      <c r="D259" t="s">
        <v>577</v>
      </c>
      <c r="E259" t="s">
        <v>26</v>
      </c>
      <c r="F259" s="1" t="s">
        <v>578</v>
      </c>
      <c r="G259" t="s">
        <v>579</v>
      </c>
      <c r="H259">
        <v>7063.41</v>
      </c>
      <c r="I259" s="2">
        <v>44285</v>
      </c>
      <c r="J259" s="2">
        <v>44376</v>
      </c>
      <c r="K259">
        <v>7063.4</v>
      </c>
    </row>
    <row r="260" spans="1:11" x14ac:dyDescent="0.25">
      <c r="A260" t="str">
        <f>"ZC2314F9DE"</f>
        <v>ZC2314F9DE</v>
      </c>
      <c r="B260" t="str">
        <f t="shared" si="4"/>
        <v>06363391001</v>
      </c>
      <c r="C260" t="s">
        <v>16</v>
      </c>
      <c r="D260" t="s">
        <v>580</v>
      </c>
      <c r="E260" t="s">
        <v>26</v>
      </c>
      <c r="F260" s="1" t="s">
        <v>581</v>
      </c>
      <c r="G260" t="s">
        <v>582</v>
      </c>
      <c r="H260">
        <v>250</v>
      </c>
      <c r="I260" s="2">
        <v>44298</v>
      </c>
      <c r="J260" s="2">
        <v>44359</v>
      </c>
      <c r="K260">
        <v>250</v>
      </c>
    </row>
    <row r="261" spans="1:11" x14ac:dyDescent="0.25">
      <c r="A261" t="str">
        <f>"872768597F"</f>
        <v>872768597F</v>
      </c>
      <c r="B261" t="str">
        <f t="shared" si="4"/>
        <v>06363391001</v>
      </c>
      <c r="C261" t="s">
        <v>16</v>
      </c>
      <c r="D261" t="s">
        <v>583</v>
      </c>
      <c r="E261" t="s">
        <v>26</v>
      </c>
      <c r="F261" s="1" t="s">
        <v>584</v>
      </c>
      <c r="G261" t="s">
        <v>239</v>
      </c>
      <c r="H261">
        <v>79016.179999999993</v>
      </c>
      <c r="I261" s="2">
        <v>44317</v>
      </c>
      <c r="J261" s="2">
        <v>44592</v>
      </c>
      <c r="K261">
        <v>45863.7</v>
      </c>
    </row>
    <row r="262" spans="1:11" x14ac:dyDescent="0.25">
      <c r="A262" t="str">
        <f>"Z033239FAA"</f>
        <v>Z033239FAA</v>
      </c>
      <c r="B262" t="str">
        <f t="shared" si="4"/>
        <v>06363391001</v>
      </c>
      <c r="C262" t="s">
        <v>16</v>
      </c>
      <c r="D262" t="s">
        <v>585</v>
      </c>
      <c r="E262" t="s">
        <v>26</v>
      </c>
      <c r="F262" s="1" t="s">
        <v>522</v>
      </c>
      <c r="G262" t="s">
        <v>523</v>
      </c>
      <c r="H262">
        <v>7900</v>
      </c>
      <c r="I262" s="2">
        <v>44370</v>
      </c>
      <c r="J262" s="2">
        <v>44431</v>
      </c>
      <c r="K262">
        <v>7900</v>
      </c>
    </row>
    <row r="263" spans="1:11" x14ac:dyDescent="0.25">
      <c r="A263" t="str">
        <f>"Z63323FE2C"</f>
        <v>Z63323FE2C</v>
      </c>
      <c r="B263" t="str">
        <f t="shared" si="4"/>
        <v>06363391001</v>
      </c>
      <c r="C263" t="s">
        <v>16</v>
      </c>
      <c r="D263" t="s">
        <v>586</v>
      </c>
      <c r="E263" t="s">
        <v>26</v>
      </c>
      <c r="F263" s="1" t="s">
        <v>587</v>
      </c>
      <c r="G263" t="s">
        <v>588</v>
      </c>
      <c r="H263">
        <v>680</v>
      </c>
      <c r="I263" s="2">
        <v>44372</v>
      </c>
      <c r="J263" s="2">
        <v>44736</v>
      </c>
      <c r="K263">
        <v>680</v>
      </c>
    </row>
    <row r="264" spans="1:11" x14ac:dyDescent="0.25">
      <c r="A264" t="str">
        <f>"ZAF323FE11"</f>
        <v>ZAF323FE11</v>
      </c>
      <c r="B264" t="str">
        <f t="shared" si="4"/>
        <v>06363391001</v>
      </c>
      <c r="C264" t="s">
        <v>16</v>
      </c>
      <c r="D264" t="s">
        <v>589</v>
      </c>
      <c r="E264" t="s">
        <v>26</v>
      </c>
      <c r="F264" s="1" t="s">
        <v>590</v>
      </c>
      <c r="G264" t="s">
        <v>591</v>
      </c>
      <c r="H264">
        <v>78.5</v>
      </c>
      <c r="I264" s="2">
        <v>44372</v>
      </c>
      <c r="J264" s="2">
        <v>44389</v>
      </c>
      <c r="K264">
        <v>78.5</v>
      </c>
    </row>
    <row r="265" spans="1:11" x14ac:dyDescent="0.25">
      <c r="A265" t="str">
        <f>"8727711EF2"</f>
        <v>8727711EF2</v>
      </c>
      <c r="B265" t="str">
        <f t="shared" si="4"/>
        <v>06363391001</v>
      </c>
      <c r="C265" t="s">
        <v>16</v>
      </c>
      <c r="D265" t="s">
        <v>592</v>
      </c>
      <c r="E265" t="s">
        <v>26</v>
      </c>
      <c r="F265" s="1" t="s">
        <v>593</v>
      </c>
      <c r="G265" t="s">
        <v>594</v>
      </c>
      <c r="H265">
        <v>106005.91</v>
      </c>
      <c r="I265" s="2">
        <v>44317</v>
      </c>
      <c r="J265" s="2">
        <v>44592</v>
      </c>
      <c r="K265">
        <v>30527.55</v>
      </c>
    </row>
    <row r="266" spans="1:11" x14ac:dyDescent="0.25">
      <c r="A266" t="str">
        <f>"Z0C323FE41"</f>
        <v>Z0C323FE41</v>
      </c>
      <c r="B266" t="str">
        <f t="shared" si="4"/>
        <v>06363391001</v>
      </c>
      <c r="C266" t="s">
        <v>16</v>
      </c>
      <c r="D266" t="s">
        <v>595</v>
      </c>
      <c r="E266" t="s">
        <v>26</v>
      </c>
      <c r="F266" s="1" t="s">
        <v>596</v>
      </c>
      <c r="G266" t="s">
        <v>597</v>
      </c>
      <c r="H266">
        <v>4500</v>
      </c>
      <c r="I266" s="2">
        <v>44372</v>
      </c>
      <c r="J266" s="2">
        <v>44433</v>
      </c>
      <c r="K266">
        <v>4500</v>
      </c>
    </row>
    <row r="267" spans="1:11" x14ac:dyDescent="0.25">
      <c r="A267" t="str">
        <f>"ZA2315D1C5"</f>
        <v>ZA2315D1C5</v>
      </c>
      <c r="B267" t="str">
        <f t="shared" si="4"/>
        <v>06363391001</v>
      </c>
      <c r="C267" t="s">
        <v>16</v>
      </c>
      <c r="D267" t="s">
        <v>598</v>
      </c>
      <c r="E267" t="s">
        <v>56</v>
      </c>
      <c r="F267" s="1" t="s">
        <v>599</v>
      </c>
      <c r="G267" t="s">
        <v>600</v>
      </c>
      <c r="H267">
        <v>12425</v>
      </c>
      <c r="I267" s="2">
        <v>44300</v>
      </c>
      <c r="J267" s="2">
        <v>44651</v>
      </c>
      <c r="K267">
        <v>12425</v>
      </c>
    </row>
    <row r="268" spans="1:11" x14ac:dyDescent="0.25">
      <c r="A268" t="str">
        <f>"8804759CF8"</f>
        <v>8804759CF8</v>
      </c>
      <c r="B268" t="str">
        <f t="shared" si="4"/>
        <v>06363391001</v>
      </c>
      <c r="C268" t="s">
        <v>16</v>
      </c>
      <c r="D268" t="s">
        <v>365</v>
      </c>
      <c r="E268" t="s">
        <v>18</v>
      </c>
      <c r="F268" s="1" t="s">
        <v>367</v>
      </c>
      <c r="G268" t="s">
        <v>368</v>
      </c>
      <c r="H268">
        <v>24657.5</v>
      </c>
      <c r="I268" s="2">
        <v>44370</v>
      </c>
      <c r="J268" s="2">
        <v>44386</v>
      </c>
      <c r="K268">
        <v>19022.95</v>
      </c>
    </row>
    <row r="269" spans="1:11" x14ac:dyDescent="0.25">
      <c r="A269" t="str">
        <f>"88045933FE"</f>
        <v>88045933FE</v>
      </c>
      <c r="B269" t="str">
        <f t="shared" si="4"/>
        <v>06363391001</v>
      </c>
      <c r="C269" t="s">
        <v>16</v>
      </c>
      <c r="D269" t="s">
        <v>365</v>
      </c>
      <c r="E269" t="s">
        <v>18</v>
      </c>
      <c r="F269" s="1" t="s">
        <v>366</v>
      </c>
      <c r="G269" t="s">
        <v>364</v>
      </c>
      <c r="H269">
        <v>20789.75</v>
      </c>
      <c r="I269" s="2">
        <v>44370</v>
      </c>
      <c r="J269" s="2">
        <v>44386</v>
      </c>
      <c r="K269">
        <v>20685.79</v>
      </c>
    </row>
    <row r="270" spans="1:11" x14ac:dyDescent="0.25">
      <c r="A270" t="str">
        <f>"8804815B2F"</f>
        <v>8804815B2F</v>
      </c>
      <c r="B270" t="str">
        <f t="shared" si="4"/>
        <v>06363391001</v>
      </c>
      <c r="C270" t="s">
        <v>16</v>
      </c>
      <c r="D270" t="s">
        <v>365</v>
      </c>
      <c r="E270" t="s">
        <v>18</v>
      </c>
      <c r="F270" s="1" t="s">
        <v>369</v>
      </c>
      <c r="G270" t="s">
        <v>370</v>
      </c>
      <c r="H270">
        <v>29830</v>
      </c>
      <c r="I270" s="2">
        <v>44370</v>
      </c>
      <c r="J270" s="2">
        <v>44386</v>
      </c>
      <c r="K270">
        <v>29858.560000000001</v>
      </c>
    </row>
    <row r="271" spans="1:11" x14ac:dyDescent="0.25">
      <c r="A271" t="str">
        <f>"Z25322615A"</f>
        <v>Z25322615A</v>
      </c>
      <c r="B271" t="str">
        <f t="shared" si="4"/>
        <v>06363391001</v>
      </c>
      <c r="C271" t="s">
        <v>16</v>
      </c>
      <c r="D271" t="s">
        <v>601</v>
      </c>
      <c r="E271" t="s">
        <v>26</v>
      </c>
      <c r="F271" s="1" t="s">
        <v>433</v>
      </c>
      <c r="G271" t="s">
        <v>434</v>
      </c>
      <c r="H271">
        <v>519.9</v>
      </c>
      <c r="I271" s="2">
        <v>44363</v>
      </c>
      <c r="J271" s="2">
        <v>44370</v>
      </c>
      <c r="K271">
        <v>519.9</v>
      </c>
    </row>
    <row r="272" spans="1:11" x14ac:dyDescent="0.25">
      <c r="A272" t="str">
        <f>"Z71326DB6A"</f>
        <v>Z71326DB6A</v>
      </c>
      <c r="B272" t="str">
        <f t="shared" si="4"/>
        <v>06363391001</v>
      </c>
      <c r="C272" t="s">
        <v>16</v>
      </c>
      <c r="D272" t="s">
        <v>602</v>
      </c>
      <c r="E272" t="s">
        <v>26</v>
      </c>
      <c r="F272" s="1" t="s">
        <v>477</v>
      </c>
      <c r="G272" t="s">
        <v>478</v>
      </c>
      <c r="H272">
        <v>5380</v>
      </c>
      <c r="I272" s="2">
        <v>44389</v>
      </c>
      <c r="J272" s="2">
        <v>44431</v>
      </c>
      <c r="K272">
        <v>5380</v>
      </c>
    </row>
    <row r="273" spans="1:11" x14ac:dyDescent="0.25">
      <c r="A273" t="str">
        <f>"ZC3325FF57"</f>
        <v>ZC3325FF57</v>
      </c>
      <c r="B273" t="str">
        <f t="shared" si="4"/>
        <v>06363391001</v>
      </c>
      <c r="C273" t="s">
        <v>16</v>
      </c>
      <c r="D273" t="s">
        <v>603</v>
      </c>
      <c r="E273" t="s">
        <v>26</v>
      </c>
      <c r="F273" s="1" t="s">
        <v>604</v>
      </c>
      <c r="G273" t="s">
        <v>605</v>
      </c>
      <c r="H273">
        <v>4950</v>
      </c>
      <c r="I273" s="2">
        <v>44389</v>
      </c>
      <c r="J273" s="2">
        <v>44573</v>
      </c>
      <c r="K273">
        <v>4950</v>
      </c>
    </row>
    <row r="274" spans="1:11" x14ac:dyDescent="0.25">
      <c r="A274" t="str">
        <f>"87604518DB"</f>
        <v>87604518DB</v>
      </c>
      <c r="B274" t="str">
        <f t="shared" si="4"/>
        <v>06363391001</v>
      </c>
      <c r="C274" t="s">
        <v>16</v>
      </c>
      <c r="D274" t="s">
        <v>606</v>
      </c>
      <c r="E274" t="s">
        <v>26</v>
      </c>
      <c r="F274" s="1" t="s">
        <v>607</v>
      </c>
      <c r="G274" t="s">
        <v>608</v>
      </c>
      <c r="H274">
        <v>44761.4</v>
      </c>
      <c r="I274" s="2">
        <v>44390</v>
      </c>
      <c r="J274" s="2">
        <v>44487</v>
      </c>
      <c r="K274">
        <v>45746.51</v>
      </c>
    </row>
    <row r="275" spans="1:11" x14ac:dyDescent="0.25">
      <c r="A275" t="str">
        <f>"8157952AF3"</f>
        <v>8157952AF3</v>
      </c>
      <c r="B275" t="str">
        <f t="shared" si="4"/>
        <v>06363391001</v>
      </c>
      <c r="C275" t="s">
        <v>16</v>
      </c>
      <c r="D275" t="s">
        <v>609</v>
      </c>
      <c r="E275" t="s">
        <v>242</v>
      </c>
      <c r="F275" s="1" t="s">
        <v>610</v>
      </c>
      <c r="G275" t="s">
        <v>611</v>
      </c>
      <c r="H275">
        <v>2768049.62</v>
      </c>
      <c r="I275" s="2">
        <v>44294</v>
      </c>
      <c r="J275" s="2">
        <v>45389</v>
      </c>
      <c r="K275">
        <v>0</v>
      </c>
    </row>
    <row r="276" spans="1:11" x14ac:dyDescent="0.25">
      <c r="A276" t="str">
        <f>"8748398E66"</f>
        <v>8748398E66</v>
      </c>
      <c r="B276" t="str">
        <f t="shared" si="4"/>
        <v>06363391001</v>
      </c>
      <c r="C276" t="s">
        <v>16</v>
      </c>
      <c r="D276" t="s">
        <v>612</v>
      </c>
      <c r="E276" t="s">
        <v>18</v>
      </c>
      <c r="F276" s="1" t="s">
        <v>613</v>
      </c>
      <c r="G276" t="s">
        <v>611</v>
      </c>
      <c r="H276">
        <v>2768049.62</v>
      </c>
      <c r="I276" s="2">
        <v>44326</v>
      </c>
      <c r="J276" s="2">
        <v>45389</v>
      </c>
      <c r="K276">
        <v>147517.76000000001</v>
      </c>
    </row>
    <row r="277" spans="1:11" x14ac:dyDescent="0.25">
      <c r="A277" t="str">
        <f>"ZDF3268B40"</f>
        <v>ZDF3268B40</v>
      </c>
      <c r="B277" t="str">
        <f t="shared" si="4"/>
        <v>06363391001</v>
      </c>
      <c r="C277" t="s">
        <v>16</v>
      </c>
      <c r="D277" t="s">
        <v>614</v>
      </c>
      <c r="E277" t="s">
        <v>26</v>
      </c>
      <c r="F277" s="1" t="s">
        <v>615</v>
      </c>
      <c r="G277" t="s">
        <v>154</v>
      </c>
      <c r="H277">
        <v>1950</v>
      </c>
      <c r="I277" s="2">
        <v>44391</v>
      </c>
      <c r="J277" s="2">
        <v>44453</v>
      </c>
      <c r="K277">
        <v>1950</v>
      </c>
    </row>
    <row r="278" spans="1:11" x14ac:dyDescent="0.25">
      <c r="A278" t="str">
        <f>"ZD7326503A"</f>
        <v>ZD7326503A</v>
      </c>
      <c r="B278" t="str">
        <f t="shared" si="4"/>
        <v>06363391001</v>
      </c>
      <c r="C278" t="s">
        <v>16</v>
      </c>
      <c r="D278" t="s">
        <v>616</v>
      </c>
      <c r="E278" t="s">
        <v>26</v>
      </c>
      <c r="F278" s="1" t="s">
        <v>433</v>
      </c>
      <c r="G278" t="s">
        <v>434</v>
      </c>
      <c r="H278">
        <v>3777.94</v>
      </c>
      <c r="I278" s="2">
        <v>44384</v>
      </c>
      <c r="J278" s="2">
        <v>44389</v>
      </c>
      <c r="K278">
        <v>3777.94</v>
      </c>
    </row>
    <row r="279" spans="1:11" x14ac:dyDescent="0.25">
      <c r="A279" t="str">
        <f>"7891459DF7"</f>
        <v>7891459DF7</v>
      </c>
      <c r="B279" t="str">
        <f t="shared" si="4"/>
        <v>06363391001</v>
      </c>
      <c r="C279" t="s">
        <v>16</v>
      </c>
      <c r="D279" t="s">
        <v>617</v>
      </c>
      <c r="E279" t="s">
        <v>242</v>
      </c>
      <c r="F279" s="1" t="s">
        <v>618</v>
      </c>
      <c r="G279" t="s">
        <v>285</v>
      </c>
      <c r="H279">
        <v>29479364.5</v>
      </c>
      <c r="I279" s="2">
        <v>44281</v>
      </c>
      <c r="J279" s="2">
        <v>45376</v>
      </c>
      <c r="K279">
        <v>0</v>
      </c>
    </row>
    <row r="280" spans="1:11" x14ac:dyDescent="0.25">
      <c r="A280" t="str">
        <f>"8738758B39"</f>
        <v>8738758B39</v>
      </c>
      <c r="B280" t="str">
        <f t="shared" si="4"/>
        <v>06363391001</v>
      </c>
      <c r="C280" t="s">
        <v>16</v>
      </c>
      <c r="D280" t="s">
        <v>619</v>
      </c>
      <c r="E280" t="s">
        <v>18</v>
      </c>
      <c r="F280" s="1" t="s">
        <v>620</v>
      </c>
      <c r="G280" t="s">
        <v>285</v>
      </c>
      <c r="H280">
        <v>16811506.050000001</v>
      </c>
      <c r="I280" s="2">
        <v>44322</v>
      </c>
      <c r="J280" s="2">
        <v>45376</v>
      </c>
      <c r="K280">
        <v>56328.42</v>
      </c>
    </row>
    <row r="281" spans="1:11" x14ac:dyDescent="0.25">
      <c r="A281" t="str">
        <f>"7891468567"</f>
        <v>7891468567</v>
      </c>
      <c r="B281" t="str">
        <f t="shared" si="4"/>
        <v>06363391001</v>
      </c>
      <c r="C281" t="s">
        <v>16</v>
      </c>
      <c r="D281" t="s">
        <v>621</v>
      </c>
      <c r="E281" t="s">
        <v>242</v>
      </c>
      <c r="F281" s="1" t="s">
        <v>618</v>
      </c>
      <c r="G281" t="s">
        <v>285</v>
      </c>
      <c r="H281">
        <v>24624070.280000001</v>
      </c>
      <c r="I281" s="2">
        <v>44281</v>
      </c>
      <c r="J281" s="2">
        <v>45376</v>
      </c>
      <c r="K281">
        <v>0</v>
      </c>
    </row>
    <row r="282" spans="1:11" x14ac:dyDescent="0.25">
      <c r="A282" t="str">
        <f>"8738759C0C"</f>
        <v>8738759C0C</v>
      </c>
      <c r="B282" t="str">
        <f t="shared" si="4"/>
        <v>06363391001</v>
      </c>
      <c r="C282" t="s">
        <v>16</v>
      </c>
      <c r="D282" t="s">
        <v>622</v>
      </c>
      <c r="E282" t="s">
        <v>18</v>
      </c>
      <c r="F282" s="1" t="s">
        <v>620</v>
      </c>
      <c r="G282" t="s">
        <v>285</v>
      </c>
      <c r="H282">
        <v>13607603.85</v>
      </c>
      <c r="I282" s="2">
        <v>44322</v>
      </c>
      <c r="J282" s="2">
        <v>45376</v>
      </c>
      <c r="K282">
        <v>61276.39</v>
      </c>
    </row>
    <row r="283" spans="1:11" x14ac:dyDescent="0.25">
      <c r="A283" t="str">
        <f>"7891473986"</f>
        <v>7891473986</v>
      </c>
      <c r="B283" t="str">
        <f t="shared" si="4"/>
        <v>06363391001</v>
      </c>
      <c r="C283" t="s">
        <v>16</v>
      </c>
      <c r="D283" t="s">
        <v>623</v>
      </c>
      <c r="E283" t="s">
        <v>242</v>
      </c>
      <c r="F283" s="1" t="s">
        <v>624</v>
      </c>
      <c r="G283" t="s">
        <v>285</v>
      </c>
      <c r="H283">
        <v>39835098.969999999</v>
      </c>
      <c r="I283" s="2">
        <v>44281</v>
      </c>
      <c r="J283" s="2">
        <v>45376</v>
      </c>
      <c r="K283">
        <v>0</v>
      </c>
    </row>
    <row r="284" spans="1:11" x14ac:dyDescent="0.25">
      <c r="A284" t="str">
        <f>"8738760CDF"</f>
        <v>8738760CDF</v>
      </c>
      <c r="B284" t="str">
        <f t="shared" si="4"/>
        <v>06363391001</v>
      </c>
      <c r="C284" t="s">
        <v>16</v>
      </c>
      <c r="D284" t="s">
        <v>625</v>
      </c>
      <c r="E284" t="s">
        <v>18</v>
      </c>
      <c r="F284" s="1" t="s">
        <v>620</v>
      </c>
      <c r="G284" t="s">
        <v>285</v>
      </c>
      <c r="H284">
        <v>17018780.25</v>
      </c>
      <c r="I284" s="2">
        <v>44322</v>
      </c>
      <c r="J284" s="2">
        <v>45376</v>
      </c>
      <c r="K284">
        <v>59018.33</v>
      </c>
    </row>
    <row r="285" spans="1:11" x14ac:dyDescent="0.25">
      <c r="A285" t="str">
        <f>"ZCD3288052"</f>
        <v>ZCD3288052</v>
      </c>
      <c r="B285" t="str">
        <f t="shared" si="4"/>
        <v>06363391001</v>
      </c>
      <c r="C285" t="s">
        <v>16</v>
      </c>
      <c r="D285" t="s">
        <v>513</v>
      </c>
      <c r="E285" t="s">
        <v>26</v>
      </c>
      <c r="F285" s="1" t="s">
        <v>626</v>
      </c>
      <c r="G285" t="s">
        <v>627</v>
      </c>
      <c r="H285">
        <v>23</v>
      </c>
      <c r="I285" s="2">
        <v>44397</v>
      </c>
      <c r="J285" s="2">
        <v>44407</v>
      </c>
      <c r="K285">
        <v>23</v>
      </c>
    </row>
    <row r="286" spans="1:11" x14ac:dyDescent="0.25">
      <c r="A286" t="str">
        <f>"Z76327CEF0"</f>
        <v>Z76327CEF0</v>
      </c>
      <c r="B286" t="str">
        <f t="shared" si="4"/>
        <v>06363391001</v>
      </c>
      <c r="C286" t="s">
        <v>16</v>
      </c>
      <c r="D286" t="s">
        <v>628</v>
      </c>
      <c r="E286" t="s">
        <v>26</v>
      </c>
      <c r="F286" s="1" t="s">
        <v>433</v>
      </c>
      <c r="G286" t="s">
        <v>434</v>
      </c>
      <c r="H286">
        <v>1109.1199999999999</v>
      </c>
      <c r="I286" s="2">
        <v>44393</v>
      </c>
      <c r="J286" s="2">
        <v>44398</v>
      </c>
      <c r="K286">
        <v>1109.1199999999999</v>
      </c>
    </row>
    <row r="287" spans="1:11" x14ac:dyDescent="0.25">
      <c r="A287" t="str">
        <f>"Z803289B9C"</f>
        <v>Z803289B9C</v>
      </c>
      <c r="B287" t="str">
        <f t="shared" si="4"/>
        <v>06363391001</v>
      </c>
      <c r="C287" t="s">
        <v>16</v>
      </c>
      <c r="D287" t="s">
        <v>629</v>
      </c>
      <c r="E287" t="s">
        <v>26</v>
      </c>
      <c r="F287" s="1" t="s">
        <v>630</v>
      </c>
      <c r="G287" t="s">
        <v>631</v>
      </c>
      <c r="H287">
        <v>30000</v>
      </c>
      <c r="I287" s="2">
        <v>44399</v>
      </c>
      <c r="J287" s="2">
        <v>44763</v>
      </c>
      <c r="K287">
        <v>30000</v>
      </c>
    </row>
    <row r="288" spans="1:11" x14ac:dyDescent="0.25">
      <c r="A288" t="str">
        <f>"884821954E"</f>
        <v>884821954E</v>
      </c>
      <c r="B288" t="str">
        <f t="shared" si="4"/>
        <v>06363391001</v>
      </c>
      <c r="C288" t="s">
        <v>16</v>
      </c>
      <c r="D288" t="s">
        <v>632</v>
      </c>
      <c r="E288" t="s">
        <v>18</v>
      </c>
      <c r="F288" s="1" t="s">
        <v>320</v>
      </c>
      <c r="G288" t="s">
        <v>321</v>
      </c>
      <c r="H288">
        <v>832603.33</v>
      </c>
      <c r="I288" s="2">
        <v>44378</v>
      </c>
      <c r="J288" s="2">
        <v>44742</v>
      </c>
      <c r="K288">
        <v>276373.49</v>
      </c>
    </row>
    <row r="289" spans="1:11" x14ac:dyDescent="0.25">
      <c r="A289" t="str">
        <f>"ZD3328AE0F"</f>
        <v>ZD3328AE0F</v>
      </c>
      <c r="B289" t="str">
        <f t="shared" si="4"/>
        <v>06363391001</v>
      </c>
      <c r="C289" t="s">
        <v>16</v>
      </c>
      <c r="D289" t="s">
        <v>633</v>
      </c>
      <c r="E289" t="s">
        <v>26</v>
      </c>
      <c r="F289" s="1" t="s">
        <v>634</v>
      </c>
      <c r="G289" t="s">
        <v>635</v>
      </c>
      <c r="H289">
        <v>1583</v>
      </c>
      <c r="I289" s="2">
        <v>44403</v>
      </c>
      <c r="J289" s="2">
        <v>44424</v>
      </c>
      <c r="K289">
        <v>1583</v>
      </c>
    </row>
    <row r="290" spans="1:11" x14ac:dyDescent="0.25">
      <c r="A290" t="str">
        <f>"7891453905"</f>
        <v>7891453905</v>
      </c>
      <c r="B290" t="str">
        <f t="shared" si="4"/>
        <v>06363391001</v>
      </c>
      <c r="C290" t="s">
        <v>16</v>
      </c>
      <c r="D290" t="s">
        <v>636</v>
      </c>
      <c r="E290" t="s">
        <v>242</v>
      </c>
      <c r="F290" s="1" t="s">
        <v>624</v>
      </c>
      <c r="G290" t="s">
        <v>285</v>
      </c>
      <c r="H290">
        <v>18976215.82</v>
      </c>
      <c r="I290" s="2">
        <v>44404</v>
      </c>
      <c r="J290" s="2">
        <v>45499</v>
      </c>
      <c r="K290">
        <v>0</v>
      </c>
    </row>
    <row r="291" spans="1:11" x14ac:dyDescent="0.25">
      <c r="A291" t="str">
        <f>"ZE23273F7C"</f>
        <v>ZE23273F7C</v>
      </c>
      <c r="B291" t="str">
        <f t="shared" si="4"/>
        <v>06363391001</v>
      </c>
      <c r="C291" t="s">
        <v>16</v>
      </c>
      <c r="D291" t="s">
        <v>637</v>
      </c>
      <c r="E291" t="s">
        <v>26</v>
      </c>
      <c r="F291" s="1" t="s">
        <v>638</v>
      </c>
      <c r="G291" t="s">
        <v>639</v>
      </c>
      <c r="H291">
        <v>189</v>
      </c>
      <c r="I291" s="2">
        <v>44390</v>
      </c>
      <c r="J291" s="2">
        <v>44411</v>
      </c>
      <c r="K291">
        <v>189</v>
      </c>
    </row>
    <row r="292" spans="1:11" x14ac:dyDescent="0.25">
      <c r="A292" t="str">
        <f>"872773204B"</f>
        <v>872773204B</v>
      </c>
      <c r="B292" t="str">
        <f t="shared" si="4"/>
        <v>06363391001</v>
      </c>
      <c r="C292" t="s">
        <v>16</v>
      </c>
      <c r="D292" t="s">
        <v>640</v>
      </c>
      <c r="E292" t="s">
        <v>26</v>
      </c>
      <c r="F292" s="1" t="s">
        <v>641</v>
      </c>
      <c r="G292" t="s">
        <v>642</v>
      </c>
      <c r="H292">
        <v>33765.29</v>
      </c>
      <c r="I292" s="2">
        <v>44317</v>
      </c>
      <c r="J292" s="2">
        <v>44592</v>
      </c>
      <c r="K292">
        <v>13344.11</v>
      </c>
    </row>
    <row r="293" spans="1:11" x14ac:dyDescent="0.25">
      <c r="A293" t="str">
        <f>"ZD632BC32A"</f>
        <v>ZD632BC32A</v>
      </c>
      <c r="B293" t="str">
        <f t="shared" si="4"/>
        <v>06363391001</v>
      </c>
      <c r="C293" t="s">
        <v>16</v>
      </c>
      <c r="D293" t="s">
        <v>643</v>
      </c>
      <c r="E293" t="s">
        <v>26</v>
      </c>
      <c r="F293" s="1" t="s">
        <v>433</v>
      </c>
      <c r="G293" t="s">
        <v>434</v>
      </c>
      <c r="H293">
        <v>3119.4</v>
      </c>
      <c r="I293" s="2">
        <v>44417</v>
      </c>
      <c r="J293" s="2">
        <v>44424</v>
      </c>
      <c r="K293">
        <v>3119.4</v>
      </c>
    </row>
    <row r="294" spans="1:11" x14ac:dyDescent="0.25">
      <c r="A294" t="str">
        <f>"ZA732A16C7"</f>
        <v>ZA732A16C7</v>
      </c>
      <c r="B294" t="str">
        <f t="shared" si="4"/>
        <v>06363391001</v>
      </c>
      <c r="C294" t="s">
        <v>16</v>
      </c>
      <c r="D294" t="s">
        <v>644</v>
      </c>
      <c r="E294" t="s">
        <v>26</v>
      </c>
      <c r="F294" s="1" t="s">
        <v>645</v>
      </c>
      <c r="G294" t="s">
        <v>646</v>
      </c>
      <c r="H294">
        <v>39000</v>
      </c>
      <c r="I294" s="2">
        <v>44412</v>
      </c>
      <c r="J294" s="2">
        <v>45141</v>
      </c>
      <c r="K294">
        <v>5900</v>
      </c>
    </row>
    <row r="295" spans="1:11" x14ac:dyDescent="0.25">
      <c r="A295" t="str">
        <f>"Z7A32D83EF"</f>
        <v>Z7A32D83EF</v>
      </c>
      <c r="B295" t="str">
        <f t="shared" si="4"/>
        <v>06363391001</v>
      </c>
      <c r="C295" t="s">
        <v>16</v>
      </c>
      <c r="D295" t="s">
        <v>647</v>
      </c>
      <c r="E295" t="s">
        <v>26</v>
      </c>
      <c r="F295" s="1" t="s">
        <v>648</v>
      </c>
      <c r="G295" t="s">
        <v>649</v>
      </c>
      <c r="H295">
        <v>4900</v>
      </c>
      <c r="I295" s="2">
        <v>44434</v>
      </c>
      <c r="J295" s="2">
        <v>44926</v>
      </c>
      <c r="K295">
        <v>50</v>
      </c>
    </row>
    <row r="296" spans="1:11" x14ac:dyDescent="0.25">
      <c r="A296" t="str">
        <f>"ZF032A287E"</f>
        <v>ZF032A287E</v>
      </c>
      <c r="B296" t="str">
        <f t="shared" si="4"/>
        <v>06363391001</v>
      </c>
      <c r="C296" t="s">
        <v>16</v>
      </c>
      <c r="D296" t="s">
        <v>650</v>
      </c>
      <c r="E296" t="s">
        <v>26</v>
      </c>
      <c r="F296" s="1" t="s">
        <v>651</v>
      </c>
      <c r="G296" t="s">
        <v>652</v>
      </c>
      <c r="H296">
        <v>11400</v>
      </c>
      <c r="I296" s="2">
        <v>44434</v>
      </c>
      <c r="J296" s="2">
        <v>45164</v>
      </c>
      <c r="K296">
        <v>2750</v>
      </c>
    </row>
    <row r="297" spans="1:11" x14ac:dyDescent="0.25">
      <c r="A297" t="str">
        <f>"Z41328F96C"</f>
        <v>Z41328F96C</v>
      </c>
      <c r="B297" t="str">
        <f t="shared" si="4"/>
        <v>06363391001</v>
      </c>
      <c r="C297" t="s">
        <v>16</v>
      </c>
      <c r="D297" t="s">
        <v>653</v>
      </c>
      <c r="E297" t="s">
        <v>26</v>
      </c>
      <c r="F297" s="1" t="s">
        <v>654</v>
      </c>
      <c r="G297" t="s">
        <v>655</v>
      </c>
      <c r="H297">
        <v>38000</v>
      </c>
      <c r="I297" s="2">
        <v>44403</v>
      </c>
      <c r="J297" s="2">
        <v>44445</v>
      </c>
      <c r="K297">
        <v>38000</v>
      </c>
    </row>
    <row r="298" spans="1:11" x14ac:dyDescent="0.25">
      <c r="A298" t="str">
        <f>"ZEA32F6A0A"</f>
        <v>ZEA32F6A0A</v>
      </c>
      <c r="B298" t="str">
        <f t="shared" si="4"/>
        <v>06363391001</v>
      </c>
      <c r="C298" t="s">
        <v>16</v>
      </c>
      <c r="D298" t="s">
        <v>656</v>
      </c>
      <c r="E298" t="s">
        <v>26</v>
      </c>
      <c r="F298" s="1" t="s">
        <v>657</v>
      </c>
      <c r="G298" t="s">
        <v>658</v>
      </c>
      <c r="H298">
        <v>698</v>
      </c>
      <c r="I298" s="2">
        <v>44447</v>
      </c>
      <c r="J298" s="2">
        <v>44446</v>
      </c>
      <c r="K298">
        <v>698</v>
      </c>
    </row>
    <row r="299" spans="1:11" x14ac:dyDescent="0.25">
      <c r="A299" t="str">
        <f>"8692943B7D"</f>
        <v>8692943B7D</v>
      </c>
      <c r="B299" t="str">
        <f t="shared" si="4"/>
        <v>06363391001</v>
      </c>
      <c r="C299" t="s">
        <v>16</v>
      </c>
      <c r="D299" t="s">
        <v>659</v>
      </c>
      <c r="E299" t="s">
        <v>18</v>
      </c>
      <c r="F299" s="1" t="s">
        <v>660</v>
      </c>
      <c r="G299" t="s">
        <v>661</v>
      </c>
      <c r="H299">
        <v>58200.480000000003</v>
      </c>
      <c r="I299" s="2">
        <v>44391</v>
      </c>
      <c r="J299" s="2">
        <v>45858</v>
      </c>
      <c r="K299">
        <v>0</v>
      </c>
    </row>
    <row r="300" spans="1:11" x14ac:dyDescent="0.25">
      <c r="A300" t="str">
        <f>"8816410BAE"</f>
        <v>8816410BAE</v>
      </c>
      <c r="B300" t="str">
        <f t="shared" si="4"/>
        <v>06363391001</v>
      </c>
      <c r="C300" t="s">
        <v>16</v>
      </c>
      <c r="D300" t="s">
        <v>662</v>
      </c>
      <c r="E300" t="s">
        <v>18</v>
      </c>
      <c r="F300" s="1" t="s">
        <v>52</v>
      </c>
      <c r="G300" t="s">
        <v>53</v>
      </c>
      <c r="H300">
        <v>6433.6</v>
      </c>
      <c r="I300" s="2">
        <v>44449</v>
      </c>
      <c r="J300" s="2">
        <v>46274</v>
      </c>
      <c r="K300">
        <v>321.68</v>
      </c>
    </row>
    <row r="301" spans="1:11" x14ac:dyDescent="0.25">
      <c r="A301" t="str">
        <f>"8847538354"</f>
        <v>8847538354</v>
      </c>
      <c r="B301" t="str">
        <f t="shared" si="4"/>
        <v>06363391001</v>
      </c>
      <c r="C301" t="s">
        <v>16</v>
      </c>
      <c r="D301" t="s">
        <v>410</v>
      </c>
      <c r="E301" t="s">
        <v>18</v>
      </c>
      <c r="F301" s="1" t="s">
        <v>663</v>
      </c>
      <c r="G301" t="s">
        <v>455</v>
      </c>
      <c r="H301">
        <v>19774.900000000001</v>
      </c>
      <c r="I301" s="2">
        <v>44404</v>
      </c>
      <c r="J301" s="2">
        <v>44420</v>
      </c>
      <c r="K301">
        <v>19737.84</v>
      </c>
    </row>
    <row r="302" spans="1:11" x14ac:dyDescent="0.25">
      <c r="A302" t="str">
        <f>"8847534008"</f>
        <v>8847534008</v>
      </c>
      <c r="B302" t="str">
        <f t="shared" si="4"/>
        <v>06363391001</v>
      </c>
      <c r="C302" t="s">
        <v>16</v>
      </c>
      <c r="D302" t="s">
        <v>410</v>
      </c>
      <c r="E302" t="s">
        <v>18</v>
      </c>
      <c r="F302" s="1" t="s">
        <v>413</v>
      </c>
      <c r="G302" t="s">
        <v>414</v>
      </c>
      <c r="H302">
        <v>19738.96</v>
      </c>
      <c r="I302" s="2">
        <v>44404</v>
      </c>
      <c r="J302" s="2">
        <v>44420</v>
      </c>
      <c r="K302">
        <v>109.6</v>
      </c>
    </row>
    <row r="303" spans="1:11" x14ac:dyDescent="0.25">
      <c r="A303" t="str">
        <f>"8847514F82"</f>
        <v>8847514F82</v>
      </c>
      <c r="B303" t="str">
        <f t="shared" si="4"/>
        <v>06363391001</v>
      </c>
      <c r="C303" t="s">
        <v>16</v>
      </c>
      <c r="D303" t="s">
        <v>410</v>
      </c>
      <c r="E303" t="s">
        <v>18</v>
      </c>
      <c r="F303" s="1" t="s">
        <v>411</v>
      </c>
      <c r="G303" t="s">
        <v>412</v>
      </c>
      <c r="H303">
        <v>21825</v>
      </c>
      <c r="I303" s="2">
        <v>44404</v>
      </c>
      <c r="J303" s="2">
        <v>44420</v>
      </c>
      <c r="K303">
        <v>2425</v>
      </c>
    </row>
    <row r="304" spans="1:11" x14ac:dyDescent="0.25">
      <c r="A304" t="str">
        <f>"86699859F3"</f>
        <v>86699859F3</v>
      </c>
      <c r="B304" t="str">
        <f t="shared" si="4"/>
        <v>06363391001</v>
      </c>
      <c r="C304" t="s">
        <v>16</v>
      </c>
      <c r="D304" t="s">
        <v>664</v>
      </c>
      <c r="E304" t="s">
        <v>56</v>
      </c>
      <c r="F304" s="1" t="s">
        <v>665</v>
      </c>
      <c r="G304" t="s">
        <v>423</v>
      </c>
      <c r="H304">
        <v>136320</v>
      </c>
      <c r="I304" s="2">
        <v>44470</v>
      </c>
      <c r="J304" s="2">
        <v>45565</v>
      </c>
      <c r="K304">
        <v>45440</v>
      </c>
    </row>
    <row r="305" spans="1:11" x14ac:dyDescent="0.25">
      <c r="A305" t="str">
        <f>"ZA7333D517"</f>
        <v>ZA7333D517</v>
      </c>
      <c r="B305" t="str">
        <f t="shared" si="4"/>
        <v>06363391001</v>
      </c>
      <c r="C305" t="s">
        <v>16</v>
      </c>
      <c r="D305" t="s">
        <v>666</v>
      </c>
      <c r="E305" t="s">
        <v>26</v>
      </c>
      <c r="F305" s="1" t="s">
        <v>667</v>
      </c>
      <c r="G305" t="s">
        <v>668</v>
      </c>
      <c r="H305">
        <v>86.49</v>
      </c>
      <c r="I305" s="2">
        <v>44468</v>
      </c>
      <c r="J305" s="2">
        <v>44474</v>
      </c>
      <c r="K305">
        <v>86.49</v>
      </c>
    </row>
    <row r="306" spans="1:11" x14ac:dyDescent="0.25">
      <c r="A306" t="str">
        <f>"8923053048"</f>
        <v>8923053048</v>
      </c>
      <c r="B306" t="str">
        <f t="shared" si="4"/>
        <v>06363391001</v>
      </c>
      <c r="C306" t="s">
        <v>16</v>
      </c>
      <c r="D306" t="s">
        <v>669</v>
      </c>
      <c r="E306" t="s">
        <v>26</v>
      </c>
      <c r="F306" s="1" t="s">
        <v>584</v>
      </c>
      <c r="G306" t="s">
        <v>239</v>
      </c>
      <c r="H306">
        <v>66511.5</v>
      </c>
      <c r="I306" s="2">
        <v>44470</v>
      </c>
      <c r="J306" s="2">
        <v>44592</v>
      </c>
      <c r="K306">
        <v>0</v>
      </c>
    </row>
    <row r="307" spans="1:11" x14ac:dyDescent="0.25">
      <c r="A307" t="str">
        <f>"7863306D60"</f>
        <v>7863306D60</v>
      </c>
      <c r="B307" t="str">
        <f t="shared" si="4"/>
        <v>06363391001</v>
      </c>
      <c r="C307" t="s">
        <v>16</v>
      </c>
      <c r="D307" t="s">
        <v>670</v>
      </c>
      <c r="E307" t="s">
        <v>63</v>
      </c>
      <c r="F307" s="1" t="s">
        <v>671</v>
      </c>
      <c r="G307" t="s">
        <v>672</v>
      </c>
      <c r="H307">
        <v>572590.98</v>
      </c>
      <c r="I307" s="2">
        <v>44470</v>
      </c>
      <c r="J307" s="2">
        <v>45485</v>
      </c>
      <c r="K307">
        <v>0</v>
      </c>
    </row>
    <row r="308" spans="1:11" x14ac:dyDescent="0.25">
      <c r="A308" t="str">
        <f>"8916612CFC"</f>
        <v>8916612CFC</v>
      </c>
      <c r="B308" t="str">
        <f t="shared" si="4"/>
        <v>06363391001</v>
      </c>
      <c r="C308" t="s">
        <v>16</v>
      </c>
      <c r="D308" t="s">
        <v>673</v>
      </c>
      <c r="E308" t="s">
        <v>18</v>
      </c>
      <c r="F308" s="1" t="s">
        <v>674</v>
      </c>
      <c r="G308" t="s">
        <v>672</v>
      </c>
      <c r="H308">
        <v>613782</v>
      </c>
      <c r="I308" s="2">
        <v>44470</v>
      </c>
      <c r="J308" s="2">
        <v>45485</v>
      </c>
      <c r="K308">
        <v>87354.23</v>
      </c>
    </row>
    <row r="309" spans="1:11" x14ac:dyDescent="0.25">
      <c r="A309" t="str">
        <f>"Z5B3232A32"</f>
        <v>Z5B3232A32</v>
      </c>
      <c r="B309" t="str">
        <f t="shared" si="4"/>
        <v>06363391001</v>
      </c>
      <c r="C309" t="s">
        <v>16</v>
      </c>
      <c r="D309" t="s">
        <v>675</v>
      </c>
      <c r="E309" t="s">
        <v>56</v>
      </c>
      <c r="F309" s="1" t="s">
        <v>676</v>
      </c>
      <c r="G309" t="s">
        <v>677</v>
      </c>
      <c r="H309">
        <v>33356.46</v>
      </c>
      <c r="I309" s="2">
        <v>44467</v>
      </c>
      <c r="J309" s="2">
        <v>44832</v>
      </c>
      <c r="K309">
        <v>33356.46</v>
      </c>
    </row>
    <row r="310" spans="1:11" x14ac:dyDescent="0.25">
      <c r="A310" t="str">
        <f>"7862173667"</f>
        <v>7862173667</v>
      </c>
      <c r="B310" t="str">
        <f t="shared" si="4"/>
        <v>06363391001</v>
      </c>
      <c r="C310" t="s">
        <v>16</v>
      </c>
      <c r="D310" t="s">
        <v>678</v>
      </c>
      <c r="E310" t="s">
        <v>63</v>
      </c>
      <c r="F310" s="1" t="s">
        <v>679</v>
      </c>
      <c r="G310" t="s">
        <v>672</v>
      </c>
      <c r="H310">
        <v>409446.53</v>
      </c>
      <c r="I310" s="2">
        <v>44404</v>
      </c>
      <c r="J310" s="2">
        <v>45499</v>
      </c>
      <c r="K310">
        <v>0</v>
      </c>
    </row>
    <row r="311" spans="1:11" x14ac:dyDescent="0.25">
      <c r="A311" t="str">
        <f>"7862191542"</f>
        <v>7862191542</v>
      </c>
      <c r="B311" t="str">
        <f t="shared" si="4"/>
        <v>06363391001</v>
      </c>
      <c r="C311" t="s">
        <v>16</v>
      </c>
      <c r="D311" t="s">
        <v>680</v>
      </c>
      <c r="E311" t="s">
        <v>63</v>
      </c>
      <c r="F311" s="1" t="s">
        <v>681</v>
      </c>
      <c r="G311" t="s">
        <v>682</v>
      </c>
      <c r="H311">
        <v>357838.58</v>
      </c>
      <c r="I311" s="2">
        <v>44446</v>
      </c>
      <c r="J311" s="2">
        <v>45541</v>
      </c>
      <c r="K311">
        <v>0</v>
      </c>
    </row>
    <row r="312" spans="1:11" x14ac:dyDescent="0.25">
      <c r="A312" t="str">
        <f>"7862201D80"</f>
        <v>7862201D80</v>
      </c>
      <c r="B312" t="str">
        <f t="shared" si="4"/>
        <v>06363391001</v>
      </c>
      <c r="C312" t="s">
        <v>16</v>
      </c>
      <c r="D312" t="s">
        <v>683</v>
      </c>
      <c r="E312" t="s">
        <v>63</v>
      </c>
      <c r="F312" s="1" t="s">
        <v>684</v>
      </c>
      <c r="G312" t="s">
        <v>685</v>
      </c>
      <c r="H312">
        <v>174395.66</v>
      </c>
      <c r="I312" s="2">
        <v>44446</v>
      </c>
      <c r="J312" s="2">
        <v>45541</v>
      </c>
      <c r="K312">
        <v>0</v>
      </c>
    </row>
    <row r="313" spans="1:11" x14ac:dyDescent="0.25">
      <c r="A313" t="str">
        <f>"7863291103"</f>
        <v>7863291103</v>
      </c>
      <c r="B313" t="str">
        <f t="shared" si="4"/>
        <v>06363391001</v>
      </c>
      <c r="C313" t="s">
        <v>16</v>
      </c>
      <c r="D313" t="s">
        <v>686</v>
      </c>
      <c r="E313" t="s">
        <v>63</v>
      </c>
      <c r="F313" s="1" t="s">
        <v>687</v>
      </c>
      <c r="G313" s="1" t="s">
        <v>688</v>
      </c>
      <c r="H313">
        <v>103122.38</v>
      </c>
      <c r="I313" s="2">
        <v>44405</v>
      </c>
      <c r="J313" s="2">
        <v>45500</v>
      </c>
      <c r="K313">
        <v>0</v>
      </c>
    </row>
    <row r="314" spans="1:11" x14ac:dyDescent="0.25">
      <c r="A314" t="str">
        <f>"78632986C8"</f>
        <v>78632986C8</v>
      </c>
      <c r="B314" t="str">
        <f t="shared" si="4"/>
        <v>06363391001</v>
      </c>
      <c r="C314" t="s">
        <v>16</v>
      </c>
      <c r="D314" t="s">
        <v>689</v>
      </c>
      <c r="E314" t="s">
        <v>63</v>
      </c>
      <c r="F314" s="1" t="s">
        <v>690</v>
      </c>
      <c r="G314" t="s">
        <v>691</v>
      </c>
      <c r="H314">
        <v>83528.78</v>
      </c>
      <c r="I314" s="2">
        <v>44447</v>
      </c>
      <c r="J314" s="2">
        <v>45542</v>
      </c>
      <c r="K314">
        <v>0</v>
      </c>
    </row>
    <row r="315" spans="1:11" x14ac:dyDescent="0.25">
      <c r="A315" t="str">
        <f>"78633100B1"</f>
        <v>78633100B1</v>
      </c>
      <c r="B315" t="str">
        <f t="shared" si="4"/>
        <v>06363391001</v>
      </c>
      <c r="C315" t="s">
        <v>16</v>
      </c>
      <c r="D315" t="s">
        <v>692</v>
      </c>
      <c r="E315" t="s">
        <v>63</v>
      </c>
      <c r="F315" s="1" t="s">
        <v>693</v>
      </c>
      <c r="G315" s="1" t="s">
        <v>694</v>
      </c>
      <c r="H315">
        <v>313211.56</v>
      </c>
      <c r="I315" s="2">
        <v>44405</v>
      </c>
      <c r="J315" s="2">
        <v>45500</v>
      </c>
      <c r="K315">
        <v>0</v>
      </c>
    </row>
    <row r="316" spans="1:11" x14ac:dyDescent="0.25">
      <c r="A316" t="str">
        <f>"7863317676"</f>
        <v>7863317676</v>
      </c>
      <c r="B316" t="str">
        <f t="shared" si="4"/>
        <v>06363391001</v>
      </c>
      <c r="C316" t="s">
        <v>16</v>
      </c>
      <c r="D316" t="s">
        <v>695</v>
      </c>
      <c r="E316" t="s">
        <v>63</v>
      </c>
      <c r="F316" s="1" t="s">
        <v>696</v>
      </c>
      <c r="G316" t="s">
        <v>685</v>
      </c>
      <c r="H316">
        <v>350412.66</v>
      </c>
      <c r="I316" s="2">
        <v>44446</v>
      </c>
      <c r="J316" s="2">
        <v>45541</v>
      </c>
      <c r="K316">
        <v>0</v>
      </c>
    </row>
    <row r="317" spans="1:11" x14ac:dyDescent="0.25">
      <c r="A317" t="str">
        <f>"8904125C63"</f>
        <v>8904125C63</v>
      </c>
      <c r="B317" t="str">
        <f t="shared" si="4"/>
        <v>06363391001</v>
      </c>
      <c r="C317" t="s">
        <v>16</v>
      </c>
      <c r="D317" t="s">
        <v>697</v>
      </c>
      <c r="E317" t="s">
        <v>698</v>
      </c>
      <c r="F317" s="1" t="s">
        <v>674</v>
      </c>
      <c r="G317" t="s">
        <v>672</v>
      </c>
      <c r="H317">
        <v>232096.8</v>
      </c>
      <c r="I317" s="2">
        <v>44453</v>
      </c>
      <c r="J317" s="2">
        <v>45485</v>
      </c>
      <c r="K317">
        <v>0</v>
      </c>
    </row>
    <row r="318" spans="1:11" x14ac:dyDescent="0.25">
      <c r="A318" t="str">
        <f>"Z0F3226A21"</f>
        <v>Z0F3226A21</v>
      </c>
      <c r="B318" t="str">
        <f t="shared" si="4"/>
        <v>06363391001</v>
      </c>
      <c r="C318" t="s">
        <v>16</v>
      </c>
      <c r="D318" t="s">
        <v>699</v>
      </c>
      <c r="E318" t="s">
        <v>26</v>
      </c>
      <c r="F318" s="1" t="s">
        <v>700</v>
      </c>
      <c r="G318" t="s">
        <v>701</v>
      </c>
      <c r="H318">
        <v>37275</v>
      </c>
      <c r="I318" s="2">
        <v>44474</v>
      </c>
      <c r="J318" s="2">
        <v>45570</v>
      </c>
      <c r="K318">
        <v>25425</v>
      </c>
    </row>
    <row r="319" spans="1:11" x14ac:dyDescent="0.25">
      <c r="A319" t="str">
        <f>"Z0C327186F"</f>
        <v>Z0C327186F</v>
      </c>
      <c r="B319" t="str">
        <f t="shared" si="4"/>
        <v>06363391001</v>
      </c>
      <c r="C319" t="s">
        <v>16</v>
      </c>
      <c r="D319" t="s">
        <v>702</v>
      </c>
      <c r="E319" t="s">
        <v>26</v>
      </c>
      <c r="F319" s="1" t="s">
        <v>703</v>
      </c>
      <c r="G319" t="s">
        <v>704</v>
      </c>
      <c r="H319">
        <v>5800</v>
      </c>
      <c r="I319" s="2">
        <v>44390</v>
      </c>
      <c r="J319" s="2">
        <v>44451</v>
      </c>
      <c r="K319">
        <v>5800</v>
      </c>
    </row>
    <row r="320" spans="1:11" x14ac:dyDescent="0.25">
      <c r="A320" t="str">
        <f>"8619619E9B"</f>
        <v>8619619E9B</v>
      </c>
      <c r="B320" t="str">
        <f t="shared" si="4"/>
        <v>06363391001</v>
      </c>
      <c r="C320" t="s">
        <v>16</v>
      </c>
      <c r="D320" t="s">
        <v>71</v>
      </c>
      <c r="E320" t="s">
        <v>26</v>
      </c>
      <c r="F320" s="1" t="s">
        <v>705</v>
      </c>
      <c r="G320" t="s">
        <v>73</v>
      </c>
      <c r="H320">
        <v>29981.51</v>
      </c>
      <c r="I320" s="2">
        <v>44306</v>
      </c>
      <c r="J320" s="2">
        <v>44671</v>
      </c>
      <c r="K320">
        <v>14990.76</v>
      </c>
    </row>
    <row r="321" spans="1:11" x14ac:dyDescent="0.25">
      <c r="A321" t="str">
        <f>"88544088A0"</f>
        <v>88544088A0</v>
      </c>
      <c r="B321" t="str">
        <f t="shared" si="4"/>
        <v>06363391001</v>
      </c>
      <c r="C321" t="s">
        <v>16</v>
      </c>
      <c r="D321" t="s">
        <v>706</v>
      </c>
      <c r="E321" t="s">
        <v>18</v>
      </c>
      <c r="F321" s="1" t="s">
        <v>620</v>
      </c>
      <c r="G321" t="s">
        <v>285</v>
      </c>
      <c r="H321">
        <v>18976215.82</v>
      </c>
      <c r="I321" s="2">
        <v>44449</v>
      </c>
      <c r="J321" s="2">
        <v>45499</v>
      </c>
      <c r="K321">
        <v>0</v>
      </c>
    </row>
    <row r="322" spans="1:11" x14ac:dyDescent="0.25">
      <c r="A322" t="str">
        <f>"Z4E33660A5"</f>
        <v>Z4E33660A5</v>
      </c>
      <c r="B322" t="str">
        <f t="shared" si="4"/>
        <v>06363391001</v>
      </c>
      <c r="C322" t="s">
        <v>16</v>
      </c>
      <c r="D322" t="s">
        <v>707</v>
      </c>
      <c r="E322" t="s">
        <v>26</v>
      </c>
      <c r="F322" s="1" t="s">
        <v>422</v>
      </c>
      <c r="G322" t="s">
        <v>423</v>
      </c>
      <c r="H322">
        <v>960</v>
      </c>
      <c r="I322" s="2">
        <v>44470</v>
      </c>
      <c r="J322" s="2">
        <v>44834</v>
      </c>
      <c r="K322">
        <v>923.08</v>
      </c>
    </row>
    <row r="323" spans="1:11" x14ac:dyDescent="0.25">
      <c r="A323" t="str">
        <f>"Z5F338B27D"</f>
        <v>Z5F338B27D</v>
      </c>
      <c r="B323" t="str">
        <f t="shared" ref="B323:B386" si="5">"06363391001"</f>
        <v>06363391001</v>
      </c>
      <c r="C323" t="s">
        <v>16</v>
      </c>
      <c r="D323" t="s">
        <v>708</v>
      </c>
      <c r="E323" t="s">
        <v>26</v>
      </c>
      <c r="F323" s="1" t="s">
        <v>620</v>
      </c>
      <c r="G323" t="s">
        <v>285</v>
      </c>
      <c r="H323">
        <v>2736</v>
      </c>
      <c r="I323" s="2">
        <v>44489</v>
      </c>
      <c r="J323" s="2">
        <v>44536</v>
      </c>
      <c r="K323">
        <v>2736</v>
      </c>
    </row>
    <row r="324" spans="1:11" x14ac:dyDescent="0.25">
      <c r="A324" t="str">
        <f>"Z39339BEB3"</f>
        <v>Z39339BEB3</v>
      </c>
      <c r="B324" t="str">
        <f t="shared" si="5"/>
        <v>06363391001</v>
      </c>
      <c r="C324" t="s">
        <v>16</v>
      </c>
      <c r="D324" t="s">
        <v>709</v>
      </c>
      <c r="E324" t="s">
        <v>26</v>
      </c>
      <c r="F324" s="1" t="s">
        <v>710</v>
      </c>
      <c r="G324" t="s">
        <v>711</v>
      </c>
      <c r="H324">
        <v>285</v>
      </c>
      <c r="I324" s="2">
        <v>44494</v>
      </c>
      <c r="J324" s="2">
        <v>44676</v>
      </c>
      <c r="K324">
        <v>285</v>
      </c>
    </row>
    <row r="325" spans="1:11" x14ac:dyDescent="0.25">
      <c r="A325" t="str">
        <f>"8947924C77"</f>
        <v>8947924C77</v>
      </c>
      <c r="B325" t="str">
        <f t="shared" si="5"/>
        <v>06363391001</v>
      </c>
      <c r="C325" t="s">
        <v>16</v>
      </c>
      <c r="D325" t="s">
        <v>712</v>
      </c>
      <c r="E325" t="s">
        <v>18</v>
      </c>
      <c r="F325" s="1" t="s">
        <v>380</v>
      </c>
      <c r="G325" t="s">
        <v>381</v>
      </c>
      <c r="H325">
        <v>0</v>
      </c>
      <c r="I325" s="2">
        <v>44490</v>
      </c>
      <c r="J325" s="2">
        <v>44551</v>
      </c>
      <c r="K325">
        <v>56939.6</v>
      </c>
    </row>
    <row r="326" spans="1:11" x14ac:dyDescent="0.25">
      <c r="A326" t="str">
        <f>"88507741C3"</f>
        <v>88507741C3</v>
      </c>
      <c r="B326" t="str">
        <f t="shared" si="5"/>
        <v>06363391001</v>
      </c>
      <c r="C326" t="s">
        <v>16</v>
      </c>
      <c r="D326" t="s">
        <v>713</v>
      </c>
      <c r="E326" t="s">
        <v>18</v>
      </c>
      <c r="F326" s="1" t="s">
        <v>22</v>
      </c>
      <c r="G326" t="s">
        <v>23</v>
      </c>
      <c r="H326">
        <v>0</v>
      </c>
      <c r="I326" s="2">
        <v>44486</v>
      </c>
      <c r="J326" s="2">
        <v>45581</v>
      </c>
      <c r="K326">
        <v>0</v>
      </c>
    </row>
    <row r="327" spans="1:11" x14ac:dyDescent="0.25">
      <c r="A327" t="str">
        <f>"ZA732A16C7"</f>
        <v>ZA732A16C7</v>
      </c>
      <c r="B327" t="str">
        <f t="shared" si="5"/>
        <v>06363391001</v>
      </c>
      <c r="C327" t="s">
        <v>16</v>
      </c>
      <c r="D327" t="s">
        <v>714</v>
      </c>
      <c r="E327" t="s">
        <v>26</v>
      </c>
      <c r="F327" s="1" t="s">
        <v>715</v>
      </c>
      <c r="G327" t="s">
        <v>716</v>
      </c>
      <c r="H327">
        <v>39000</v>
      </c>
      <c r="I327" s="2">
        <v>44497</v>
      </c>
      <c r="J327" s="2">
        <v>45227</v>
      </c>
      <c r="K327">
        <v>17690</v>
      </c>
    </row>
    <row r="328" spans="1:11" x14ac:dyDescent="0.25">
      <c r="A328" t="str">
        <f>"8958265224"</f>
        <v>8958265224</v>
      </c>
      <c r="B328" t="str">
        <f t="shared" si="5"/>
        <v>06363391001</v>
      </c>
      <c r="C328" t="s">
        <v>16</v>
      </c>
      <c r="D328" t="s">
        <v>717</v>
      </c>
      <c r="E328" t="s">
        <v>18</v>
      </c>
      <c r="F328" s="1" t="s">
        <v>501</v>
      </c>
      <c r="G328" t="s">
        <v>494</v>
      </c>
      <c r="H328">
        <v>406130.8</v>
      </c>
      <c r="I328" s="2">
        <v>44497</v>
      </c>
      <c r="J328" s="2">
        <v>45647</v>
      </c>
      <c r="K328">
        <v>20222.560000000001</v>
      </c>
    </row>
    <row r="329" spans="1:11" x14ac:dyDescent="0.25">
      <c r="A329" t="str">
        <f>"8947924C77"</f>
        <v>8947924C77</v>
      </c>
      <c r="B329" t="str">
        <f t="shared" si="5"/>
        <v>06363391001</v>
      </c>
      <c r="C329" t="s">
        <v>16</v>
      </c>
      <c r="D329" t="s">
        <v>718</v>
      </c>
      <c r="E329" t="s">
        <v>18</v>
      </c>
      <c r="F329" s="1" t="s">
        <v>380</v>
      </c>
      <c r="G329" t="s">
        <v>381</v>
      </c>
      <c r="H329">
        <v>0</v>
      </c>
      <c r="I329" s="2">
        <v>44490</v>
      </c>
      <c r="J329" s="2">
        <v>44551</v>
      </c>
      <c r="K329">
        <v>13370.17</v>
      </c>
    </row>
    <row r="330" spans="1:11" x14ac:dyDescent="0.25">
      <c r="A330" t="str">
        <f>"Z8233BCA56"</f>
        <v>Z8233BCA56</v>
      </c>
      <c r="B330" t="str">
        <f t="shared" si="5"/>
        <v>06363391001</v>
      </c>
      <c r="C330" t="s">
        <v>16</v>
      </c>
      <c r="D330" t="s">
        <v>405</v>
      </c>
      <c r="E330" t="s">
        <v>26</v>
      </c>
      <c r="F330" s="1" t="s">
        <v>719</v>
      </c>
      <c r="G330" t="s">
        <v>720</v>
      </c>
      <c r="H330">
        <v>659.97</v>
      </c>
      <c r="I330" s="2">
        <v>44506</v>
      </c>
      <c r="J330" s="2">
        <v>44870</v>
      </c>
      <c r="K330">
        <v>634.59</v>
      </c>
    </row>
    <row r="331" spans="1:11" x14ac:dyDescent="0.25">
      <c r="A331" t="str">
        <f>"ZD133718FC"</f>
        <v>ZD133718FC</v>
      </c>
      <c r="B331" t="str">
        <f t="shared" si="5"/>
        <v>06363391001</v>
      </c>
      <c r="C331" t="s">
        <v>16</v>
      </c>
      <c r="D331" t="s">
        <v>721</v>
      </c>
      <c r="E331" t="s">
        <v>26</v>
      </c>
      <c r="F331" s="1" t="s">
        <v>722</v>
      </c>
      <c r="G331" t="s">
        <v>723</v>
      </c>
      <c r="H331">
        <v>4900</v>
      </c>
      <c r="I331" s="2">
        <v>44505</v>
      </c>
      <c r="J331" s="2">
        <v>44531</v>
      </c>
      <c r="K331">
        <v>0</v>
      </c>
    </row>
    <row r="332" spans="1:11" x14ac:dyDescent="0.25">
      <c r="A332" t="str">
        <f>"ZAE33D12E3"</f>
        <v>ZAE33D12E3</v>
      </c>
      <c r="B332" t="str">
        <f t="shared" si="5"/>
        <v>06363391001</v>
      </c>
      <c r="C332" t="s">
        <v>16</v>
      </c>
      <c r="D332" t="s">
        <v>724</v>
      </c>
      <c r="E332" t="s">
        <v>26</v>
      </c>
      <c r="F332" s="1" t="s">
        <v>725</v>
      </c>
      <c r="G332" t="s">
        <v>726</v>
      </c>
      <c r="H332">
        <v>947</v>
      </c>
      <c r="I332" s="2">
        <v>44509</v>
      </c>
      <c r="J332" s="2">
        <v>44537</v>
      </c>
      <c r="K332">
        <v>947</v>
      </c>
    </row>
    <row r="333" spans="1:11" x14ac:dyDescent="0.25">
      <c r="A333" t="str">
        <f>"ZC6332FEE1"</f>
        <v>ZC6332FEE1</v>
      </c>
      <c r="B333" t="str">
        <f t="shared" si="5"/>
        <v>06363391001</v>
      </c>
      <c r="C333" t="s">
        <v>16</v>
      </c>
      <c r="D333" t="s">
        <v>727</v>
      </c>
      <c r="E333" t="s">
        <v>26</v>
      </c>
      <c r="F333" s="1" t="s">
        <v>728</v>
      </c>
      <c r="G333" t="s">
        <v>729</v>
      </c>
      <c r="H333">
        <v>252.34</v>
      </c>
      <c r="I333" s="2">
        <v>44509</v>
      </c>
      <c r="J333" s="2">
        <v>44515</v>
      </c>
      <c r="K333">
        <v>252.34</v>
      </c>
    </row>
    <row r="334" spans="1:11" x14ac:dyDescent="0.25">
      <c r="A334" t="str">
        <f>"Z5E33662FF"</f>
        <v>Z5E33662FF</v>
      </c>
      <c r="B334" t="str">
        <f t="shared" si="5"/>
        <v>06363391001</v>
      </c>
      <c r="C334" t="s">
        <v>16</v>
      </c>
      <c r="D334" t="s">
        <v>730</v>
      </c>
      <c r="E334" t="s">
        <v>26</v>
      </c>
      <c r="F334" s="1" t="s">
        <v>731</v>
      </c>
      <c r="G334" t="s">
        <v>732</v>
      </c>
      <c r="H334">
        <v>171.2</v>
      </c>
      <c r="I334" s="2">
        <v>44509</v>
      </c>
      <c r="J334" s="2">
        <v>44561</v>
      </c>
      <c r="K334">
        <v>171.2</v>
      </c>
    </row>
    <row r="335" spans="1:11" x14ac:dyDescent="0.25">
      <c r="A335" t="str">
        <f>"ZA633ADB00"</f>
        <v>ZA633ADB00</v>
      </c>
      <c r="B335" t="str">
        <f t="shared" si="5"/>
        <v>06363391001</v>
      </c>
      <c r="C335" t="s">
        <v>16</v>
      </c>
      <c r="D335" t="s">
        <v>733</v>
      </c>
      <c r="E335" t="s">
        <v>26</v>
      </c>
      <c r="F335" s="1" t="s">
        <v>433</v>
      </c>
      <c r="G335" t="s">
        <v>434</v>
      </c>
      <c r="H335">
        <v>623.88</v>
      </c>
      <c r="I335" s="2">
        <v>44498</v>
      </c>
      <c r="J335" s="2">
        <v>44505</v>
      </c>
      <c r="K335">
        <v>623.88</v>
      </c>
    </row>
    <row r="336" spans="1:11" x14ac:dyDescent="0.25">
      <c r="A336" t="str">
        <f>"ZC433C9D47"</f>
        <v>ZC433C9D47</v>
      </c>
      <c r="B336" t="str">
        <f t="shared" si="5"/>
        <v>06363391001</v>
      </c>
      <c r="C336" t="s">
        <v>16</v>
      </c>
      <c r="D336" t="s">
        <v>734</v>
      </c>
      <c r="E336" t="s">
        <v>26</v>
      </c>
      <c r="F336" s="1" t="s">
        <v>433</v>
      </c>
      <c r="G336" t="s">
        <v>434</v>
      </c>
      <c r="H336">
        <v>866.5</v>
      </c>
      <c r="I336" s="2">
        <v>44508</v>
      </c>
      <c r="J336" s="2">
        <v>44512</v>
      </c>
      <c r="K336">
        <v>866.5</v>
      </c>
    </row>
    <row r="337" spans="1:11" x14ac:dyDescent="0.25">
      <c r="A337" t="str">
        <f>"ZB733DB61C"</f>
        <v>ZB733DB61C</v>
      </c>
      <c r="B337" t="str">
        <f t="shared" si="5"/>
        <v>06363391001</v>
      </c>
      <c r="C337" t="s">
        <v>16</v>
      </c>
      <c r="D337" t="s">
        <v>735</v>
      </c>
      <c r="E337" t="s">
        <v>26</v>
      </c>
      <c r="F337" s="1" t="s">
        <v>433</v>
      </c>
      <c r="G337" t="s">
        <v>434</v>
      </c>
      <c r="H337">
        <v>5389.63</v>
      </c>
      <c r="I337" s="2">
        <v>44511</v>
      </c>
      <c r="J337" s="2">
        <v>44515</v>
      </c>
      <c r="K337">
        <v>5389.63</v>
      </c>
    </row>
    <row r="338" spans="1:11" x14ac:dyDescent="0.25">
      <c r="A338" t="str">
        <f>"Z583391597"</f>
        <v>Z583391597</v>
      </c>
      <c r="B338" t="str">
        <f t="shared" si="5"/>
        <v>06363391001</v>
      </c>
      <c r="C338" t="s">
        <v>16</v>
      </c>
      <c r="D338" t="s">
        <v>736</v>
      </c>
      <c r="E338" t="s">
        <v>26</v>
      </c>
      <c r="F338" s="1" t="s">
        <v>737</v>
      </c>
      <c r="G338" t="s">
        <v>738</v>
      </c>
      <c r="H338">
        <v>16965.599999999999</v>
      </c>
      <c r="I338" s="2">
        <v>44491</v>
      </c>
      <c r="J338" s="2">
        <v>45220</v>
      </c>
      <c r="K338">
        <v>927.74</v>
      </c>
    </row>
    <row r="339" spans="1:11" x14ac:dyDescent="0.25">
      <c r="A339" t="str">
        <f>"ZDC339CD38"</f>
        <v>ZDC339CD38</v>
      </c>
      <c r="B339" t="str">
        <f t="shared" si="5"/>
        <v>06363391001</v>
      </c>
      <c r="C339" t="s">
        <v>16</v>
      </c>
      <c r="D339" t="s">
        <v>739</v>
      </c>
      <c r="E339" t="s">
        <v>26</v>
      </c>
      <c r="F339" s="1" t="s">
        <v>740</v>
      </c>
      <c r="G339" t="s">
        <v>741</v>
      </c>
      <c r="H339">
        <v>17093.39</v>
      </c>
      <c r="I339" s="2">
        <v>44515</v>
      </c>
      <c r="J339" s="2">
        <v>44877</v>
      </c>
      <c r="K339">
        <v>0</v>
      </c>
    </row>
    <row r="340" spans="1:11" x14ac:dyDescent="0.25">
      <c r="A340" t="str">
        <f>"8836214278"</f>
        <v>8836214278</v>
      </c>
      <c r="B340" t="str">
        <f t="shared" si="5"/>
        <v>06363391001</v>
      </c>
      <c r="C340" t="s">
        <v>16</v>
      </c>
      <c r="D340" t="s">
        <v>742</v>
      </c>
      <c r="E340" t="s">
        <v>56</v>
      </c>
      <c r="F340" s="1" t="s">
        <v>743</v>
      </c>
      <c r="G340" t="s">
        <v>744</v>
      </c>
      <c r="H340">
        <v>44759</v>
      </c>
      <c r="I340" s="2">
        <v>44518</v>
      </c>
      <c r="J340" s="2">
        <v>44699</v>
      </c>
      <c r="K340">
        <v>0</v>
      </c>
    </row>
    <row r="341" spans="1:11" x14ac:dyDescent="0.25">
      <c r="A341" t="str">
        <f>"88362239E3"</f>
        <v>88362239E3</v>
      </c>
      <c r="B341" t="str">
        <f t="shared" si="5"/>
        <v>06363391001</v>
      </c>
      <c r="C341" t="s">
        <v>16</v>
      </c>
      <c r="D341" t="s">
        <v>745</v>
      </c>
      <c r="E341" t="s">
        <v>56</v>
      </c>
      <c r="F341" s="1" t="s">
        <v>746</v>
      </c>
      <c r="G341" t="s">
        <v>747</v>
      </c>
      <c r="H341">
        <v>58964</v>
      </c>
      <c r="I341" s="2">
        <v>44518</v>
      </c>
      <c r="J341" s="2">
        <v>44699</v>
      </c>
      <c r="K341">
        <v>0</v>
      </c>
    </row>
    <row r="342" spans="1:11" x14ac:dyDescent="0.25">
      <c r="A342" t="str">
        <f>"8866916A8D"</f>
        <v>8866916A8D</v>
      </c>
      <c r="B342" t="str">
        <f t="shared" si="5"/>
        <v>06363391001</v>
      </c>
      <c r="C342" t="s">
        <v>16</v>
      </c>
      <c r="D342" t="s">
        <v>748</v>
      </c>
      <c r="E342" t="s">
        <v>63</v>
      </c>
      <c r="F342" s="1" t="s">
        <v>128</v>
      </c>
      <c r="G342" t="s">
        <v>129</v>
      </c>
      <c r="H342">
        <v>2426970</v>
      </c>
      <c r="I342" s="2">
        <v>44531</v>
      </c>
      <c r="J342" s="2">
        <v>45716</v>
      </c>
      <c r="K342">
        <v>0</v>
      </c>
    </row>
    <row r="343" spans="1:11" x14ac:dyDescent="0.25">
      <c r="A343" t="str">
        <f>"8866923057"</f>
        <v>8866923057</v>
      </c>
      <c r="B343" t="str">
        <f t="shared" si="5"/>
        <v>06363391001</v>
      </c>
      <c r="C343" t="s">
        <v>16</v>
      </c>
      <c r="D343" t="s">
        <v>749</v>
      </c>
      <c r="E343" t="s">
        <v>63</v>
      </c>
      <c r="F343" s="1" t="s">
        <v>750</v>
      </c>
      <c r="G343" t="s">
        <v>751</v>
      </c>
      <c r="H343">
        <v>1100570.25</v>
      </c>
      <c r="I343" s="2">
        <v>44531</v>
      </c>
      <c r="J343" s="2">
        <v>45716</v>
      </c>
      <c r="K343">
        <v>0</v>
      </c>
    </row>
    <row r="344" spans="1:11" x14ac:dyDescent="0.25">
      <c r="A344" t="str">
        <f>"Z05341A423"</f>
        <v>Z05341A423</v>
      </c>
      <c r="B344" t="str">
        <f t="shared" si="5"/>
        <v>06363391001</v>
      </c>
      <c r="C344" t="s">
        <v>16</v>
      </c>
      <c r="D344" t="s">
        <v>752</v>
      </c>
      <c r="E344" t="s">
        <v>26</v>
      </c>
      <c r="F344" s="1" t="s">
        <v>753</v>
      </c>
      <c r="G344" t="s">
        <v>754</v>
      </c>
      <c r="H344">
        <v>1440</v>
      </c>
      <c r="I344" s="2">
        <v>44530</v>
      </c>
      <c r="J344" s="2">
        <v>44530</v>
      </c>
      <c r="K344">
        <v>1440</v>
      </c>
    </row>
    <row r="345" spans="1:11" x14ac:dyDescent="0.25">
      <c r="A345" t="str">
        <f>"ZD0343B275"</f>
        <v>ZD0343B275</v>
      </c>
      <c r="B345" t="str">
        <f t="shared" si="5"/>
        <v>06363391001</v>
      </c>
      <c r="C345" t="s">
        <v>16</v>
      </c>
      <c r="D345" t="s">
        <v>755</v>
      </c>
      <c r="E345" t="s">
        <v>26</v>
      </c>
      <c r="F345" s="1" t="s">
        <v>756</v>
      </c>
      <c r="G345" t="s">
        <v>757</v>
      </c>
      <c r="H345">
        <v>1692</v>
      </c>
      <c r="I345" s="2">
        <v>44533</v>
      </c>
      <c r="J345" s="2">
        <v>44595</v>
      </c>
      <c r="K345">
        <v>1692</v>
      </c>
    </row>
    <row r="346" spans="1:11" x14ac:dyDescent="0.25">
      <c r="A346" t="str">
        <f>"Z8D342D862"</f>
        <v>Z8D342D862</v>
      </c>
      <c r="B346" t="str">
        <f t="shared" si="5"/>
        <v>06363391001</v>
      </c>
      <c r="C346" t="s">
        <v>16</v>
      </c>
      <c r="D346" t="s">
        <v>758</v>
      </c>
      <c r="E346" t="s">
        <v>26</v>
      </c>
      <c r="F346" s="1" t="s">
        <v>377</v>
      </c>
      <c r="G346" t="s">
        <v>378</v>
      </c>
      <c r="H346">
        <v>550.04</v>
      </c>
      <c r="I346" s="2">
        <v>44534</v>
      </c>
      <c r="J346" s="2">
        <v>44898</v>
      </c>
      <c r="K346">
        <v>550.04</v>
      </c>
    </row>
    <row r="347" spans="1:11" x14ac:dyDescent="0.25">
      <c r="A347" t="str">
        <f>"Z8833F4929"</f>
        <v>Z8833F4929</v>
      </c>
      <c r="B347" t="str">
        <f t="shared" si="5"/>
        <v>06363391001</v>
      </c>
      <c r="C347" t="s">
        <v>16</v>
      </c>
      <c r="D347" t="s">
        <v>759</v>
      </c>
      <c r="E347" t="s">
        <v>26</v>
      </c>
      <c r="F347" s="1" t="s">
        <v>760</v>
      </c>
      <c r="G347" t="s">
        <v>761</v>
      </c>
      <c r="H347">
        <v>4989</v>
      </c>
      <c r="I347" s="2">
        <v>44518</v>
      </c>
      <c r="J347" s="2">
        <v>44528</v>
      </c>
      <c r="K347">
        <v>4989</v>
      </c>
    </row>
    <row r="348" spans="1:11" x14ac:dyDescent="0.25">
      <c r="A348" t="str">
        <f>"Z61342D84A"</f>
        <v>Z61342D84A</v>
      </c>
      <c r="B348" t="str">
        <f t="shared" si="5"/>
        <v>06363391001</v>
      </c>
      <c r="C348" t="s">
        <v>16</v>
      </c>
      <c r="D348" t="s">
        <v>405</v>
      </c>
      <c r="E348" t="s">
        <v>26</v>
      </c>
      <c r="F348" s="1" t="s">
        <v>403</v>
      </c>
      <c r="G348" t="s">
        <v>404</v>
      </c>
      <c r="H348">
        <v>190</v>
      </c>
      <c r="I348" s="2">
        <v>44562</v>
      </c>
      <c r="J348" s="2">
        <v>44926</v>
      </c>
      <c r="K348">
        <v>0</v>
      </c>
    </row>
    <row r="349" spans="1:11" x14ac:dyDescent="0.25">
      <c r="A349" t="str">
        <f>"Z48342D86A"</f>
        <v>Z48342D86A</v>
      </c>
      <c r="B349" t="str">
        <f t="shared" si="5"/>
        <v>06363391001</v>
      </c>
      <c r="C349" t="s">
        <v>16</v>
      </c>
      <c r="D349" t="s">
        <v>762</v>
      </c>
      <c r="E349" t="s">
        <v>26</v>
      </c>
      <c r="F349" s="1" t="s">
        <v>408</v>
      </c>
      <c r="G349" t="s">
        <v>409</v>
      </c>
      <c r="H349">
        <v>769.6</v>
      </c>
      <c r="I349" s="2">
        <v>44562</v>
      </c>
      <c r="J349" s="2">
        <v>44926</v>
      </c>
      <c r="K349">
        <v>0</v>
      </c>
    </row>
    <row r="350" spans="1:11" x14ac:dyDescent="0.25">
      <c r="A350" t="str">
        <f>"Z4C342D883"</f>
        <v>Z4C342D883</v>
      </c>
      <c r="B350" t="str">
        <f t="shared" si="5"/>
        <v>06363391001</v>
      </c>
      <c r="C350" t="s">
        <v>16</v>
      </c>
      <c r="D350" t="s">
        <v>763</v>
      </c>
      <c r="E350" t="s">
        <v>26</v>
      </c>
      <c r="F350" s="1" t="s">
        <v>764</v>
      </c>
      <c r="G350" t="s">
        <v>765</v>
      </c>
      <c r="H350">
        <v>6600</v>
      </c>
      <c r="I350" s="2">
        <v>44562</v>
      </c>
      <c r="J350" s="2">
        <v>44926</v>
      </c>
      <c r="K350">
        <v>0</v>
      </c>
    </row>
    <row r="351" spans="1:11" x14ac:dyDescent="0.25">
      <c r="A351" t="str">
        <f>"Z4F342D857"</f>
        <v>Z4F342D857</v>
      </c>
      <c r="B351" t="str">
        <f t="shared" si="5"/>
        <v>06363391001</v>
      </c>
      <c r="C351" t="s">
        <v>16</v>
      </c>
      <c r="D351" t="s">
        <v>405</v>
      </c>
      <c r="E351" t="s">
        <v>26</v>
      </c>
      <c r="F351" s="1" t="s">
        <v>406</v>
      </c>
      <c r="G351" t="s">
        <v>407</v>
      </c>
      <c r="H351">
        <v>5000</v>
      </c>
      <c r="I351" s="2">
        <v>44562</v>
      </c>
      <c r="J351" s="2">
        <v>44926</v>
      </c>
      <c r="K351">
        <v>0</v>
      </c>
    </row>
    <row r="352" spans="1:11" x14ac:dyDescent="0.25">
      <c r="A352" t="str">
        <f>"0000000000"</f>
        <v>0000000000</v>
      </c>
      <c r="B352" t="str">
        <f t="shared" si="5"/>
        <v>06363391001</v>
      </c>
      <c r="C352" t="s">
        <v>16</v>
      </c>
      <c r="D352" t="s">
        <v>766</v>
      </c>
      <c r="E352" t="s">
        <v>26</v>
      </c>
      <c r="F352" s="1" t="s">
        <v>391</v>
      </c>
      <c r="G352" t="s">
        <v>392</v>
      </c>
      <c r="H352">
        <v>10000</v>
      </c>
      <c r="I352" s="2">
        <v>44562</v>
      </c>
      <c r="J352" s="2">
        <v>44926</v>
      </c>
      <c r="K352">
        <v>0</v>
      </c>
    </row>
    <row r="353" spans="1:11" x14ac:dyDescent="0.25">
      <c r="A353" t="str">
        <f>"ZBF33FBDF4"</f>
        <v>ZBF33FBDF4</v>
      </c>
      <c r="B353" t="str">
        <f t="shared" si="5"/>
        <v>06363391001</v>
      </c>
      <c r="C353" t="s">
        <v>16</v>
      </c>
      <c r="D353" t="s">
        <v>767</v>
      </c>
      <c r="E353" t="s">
        <v>26</v>
      </c>
      <c r="F353" s="1" t="s">
        <v>394</v>
      </c>
      <c r="G353" t="s">
        <v>395</v>
      </c>
      <c r="H353">
        <v>210</v>
      </c>
      <c r="I353" s="2">
        <v>44562</v>
      </c>
      <c r="J353" s="2">
        <v>44926</v>
      </c>
      <c r="K353">
        <v>0</v>
      </c>
    </row>
    <row r="354" spans="1:11" x14ac:dyDescent="0.25">
      <c r="A354" t="str">
        <f>"ZC93465809"</f>
        <v>ZC93465809</v>
      </c>
      <c r="B354" t="str">
        <f t="shared" si="5"/>
        <v>06363391001</v>
      </c>
      <c r="C354" t="s">
        <v>16</v>
      </c>
      <c r="D354" t="s">
        <v>768</v>
      </c>
      <c r="E354" t="s">
        <v>56</v>
      </c>
      <c r="F354" s="1" t="s">
        <v>769</v>
      </c>
      <c r="G354" t="s">
        <v>126</v>
      </c>
      <c r="H354">
        <v>9460</v>
      </c>
      <c r="I354" s="2">
        <v>44545</v>
      </c>
      <c r="J354" s="2">
        <v>44608</v>
      </c>
      <c r="K354">
        <v>0</v>
      </c>
    </row>
    <row r="355" spans="1:11" x14ac:dyDescent="0.25">
      <c r="A355" t="str">
        <f>"ZEB346DBC2"</f>
        <v>ZEB346DBC2</v>
      </c>
      <c r="B355" t="str">
        <f t="shared" si="5"/>
        <v>06363391001</v>
      </c>
      <c r="C355" t="s">
        <v>16</v>
      </c>
      <c r="D355" t="s">
        <v>770</v>
      </c>
      <c r="E355" t="s">
        <v>26</v>
      </c>
      <c r="F355" s="1" t="s">
        <v>771</v>
      </c>
      <c r="G355" t="s">
        <v>772</v>
      </c>
      <c r="H355">
        <v>1399.6</v>
      </c>
      <c r="I355" s="2">
        <v>44545</v>
      </c>
      <c r="J355" s="2">
        <v>44561</v>
      </c>
      <c r="K355">
        <v>0</v>
      </c>
    </row>
    <row r="356" spans="1:11" x14ac:dyDescent="0.25">
      <c r="A356" t="str">
        <f>"ZA4342506A"</f>
        <v>ZA4342506A</v>
      </c>
      <c r="B356" t="str">
        <f t="shared" si="5"/>
        <v>06363391001</v>
      </c>
      <c r="C356" t="s">
        <v>16</v>
      </c>
      <c r="D356" t="s">
        <v>773</v>
      </c>
      <c r="E356" t="s">
        <v>26</v>
      </c>
      <c r="F356" s="1" t="s">
        <v>433</v>
      </c>
      <c r="G356" t="s">
        <v>434</v>
      </c>
      <c r="H356">
        <v>1074.46</v>
      </c>
      <c r="I356" s="2">
        <v>44529</v>
      </c>
      <c r="J356" s="2">
        <v>44547</v>
      </c>
      <c r="K356">
        <v>0</v>
      </c>
    </row>
    <row r="357" spans="1:11" x14ac:dyDescent="0.25">
      <c r="A357" t="str">
        <f>"Z17345F31D"</f>
        <v>Z17345F31D</v>
      </c>
      <c r="B357" t="str">
        <f t="shared" si="5"/>
        <v>06363391001</v>
      </c>
      <c r="C357" t="s">
        <v>16</v>
      </c>
      <c r="D357" t="s">
        <v>774</v>
      </c>
      <c r="E357" t="s">
        <v>26</v>
      </c>
      <c r="F357" s="1" t="s">
        <v>433</v>
      </c>
      <c r="G357" t="s">
        <v>434</v>
      </c>
      <c r="H357">
        <v>1784.99</v>
      </c>
      <c r="I357" s="2">
        <v>44543</v>
      </c>
      <c r="J357" s="2">
        <v>44547</v>
      </c>
      <c r="K357">
        <v>1074.46</v>
      </c>
    </row>
    <row r="358" spans="1:11" x14ac:dyDescent="0.25">
      <c r="A358" t="str">
        <f>"Z6A33BC3DE"</f>
        <v>Z6A33BC3DE</v>
      </c>
      <c r="B358" t="str">
        <f t="shared" si="5"/>
        <v>06363391001</v>
      </c>
      <c r="C358" t="s">
        <v>16</v>
      </c>
      <c r="D358" t="s">
        <v>775</v>
      </c>
      <c r="E358" t="s">
        <v>56</v>
      </c>
      <c r="F358" s="1" t="s">
        <v>776</v>
      </c>
      <c r="G358" t="s">
        <v>777</v>
      </c>
      <c r="H358">
        <v>4740</v>
      </c>
      <c r="I358" s="2">
        <v>44545</v>
      </c>
      <c r="J358" s="2">
        <v>44578</v>
      </c>
      <c r="K358">
        <v>0</v>
      </c>
    </row>
    <row r="359" spans="1:11" x14ac:dyDescent="0.25">
      <c r="A359" t="str">
        <f>"Z103416373"</f>
        <v>Z103416373</v>
      </c>
      <c r="B359" t="str">
        <f t="shared" si="5"/>
        <v>06363391001</v>
      </c>
      <c r="C359" t="s">
        <v>16</v>
      </c>
      <c r="D359" t="s">
        <v>778</v>
      </c>
      <c r="E359" t="s">
        <v>26</v>
      </c>
      <c r="H359">
        <v>20800</v>
      </c>
      <c r="K359">
        <v>0</v>
      </c>
    </row>
    <row r="360" spans="1:11" x14ac:dyDescent="0.25">
      <c r="A360" t="str">
        <f>"9041087D01"</f>
        <v>9041087D01</v>
      </c>
      <c r="B360" t="str">
        <f t="shared" si="5"/>
        <v>06363391001</v>
      </c>
      <c r="C360" t="s">
        <v>16</v>
      </c>
      <c r="D360" t="s">
        <v>410</v>
      </c>
      <c r="E360" t="s">
        <v>18</v>
      </c>
      <c r="F360" s="1" t="s">
        <v>413</v>
      </c>
      <c r="G360" t="s">
        <v>414</v>
      </c>
      <c r="H360">
        <v>44662</v>
      </c>
      <c r="I360" s="2">
        <v>44553</v>
      </c>
      <c r="J360" s="2">
        <v>44571</v>
      </c>
      <c r="K360">
        <v>0</v>
      </c>
    </row>
    <row r="361" spans="1:11" x14ac:dyDescent="0.25">
      <c r="A361" t="str">
        <f>"9041086C2E"</f>
        <v>9041086C2E</v>
      </c>
      <c r="B361" t="str">
        <f t="shared" si="5"/>
        <v>06363391001</v>
      </c>
      <c r="C361" t="s">
        <v>16</v>
      </c>
      <c r="D361" t="s">
        <v>410</v>
      </c>
      <c r="E361" t="s">
        <v>18</v>
      </c>
      <c r="F361" s="1" t="s">
        <v>663</v>
      </c>
      <c r="G361" t="s">
        <v>455</v>
      </c>
      <c r="H361">
        <v>44689</v>
      </c>
      <c r="I361" s="2">
        <v>44553</v>
      </c>
      <c r="J361" s="2">
        <v>44571</v>
      </c>
      <c r="K361">
        <v>0</v>
      </c>
    </row>
    <row r="362" spans="1:11" x14ac:dyDescent="0.25">
      <c r="A362" t="str">
        <f>"90410839B5"</f>
        <v>90410839B5</v>
      </c>
      <c r="B362" t="str">
        <f t="shared" si="5"/>
        <v>06363391001</v>
      </c>
      <c r="C362" t="s">
        <v>16</v>
      </c>
      <c r="D362" t="s">
        <v>410</v>
      </c>
      <c r="E362" t="s">
        <v>18</v>
      </c>
      <c r="F362" s="1" t="s">
        <v>411</v>
      </c>
      <c r="G362" t="s">
        <v>412</v>
      </c>
      <c r="H362">
        <v>49400</v>
      </c>
      <c r="I362" s="2">
        <v>44553</v>
      </c>
      <c r="J362" s="2">
        <v>44571</v>
      </c>
      <c r="K362">
        <v>0</v>
      </c>
    </row>
    <row r="363" spans="1:11" x14ac:dyDescent="0.25">
      <c r="A363" t="str">
        <f>"Z45343803F"</f>
        <v>Z45343803F</v>
      </c>
      <c r="B363" t="str">
        <f t="shared" si="5"/>
        <v>06363391001</v>
      </c>
      <c r="C363" t="s">
        <v>16</v>
      </c>
      <c r="D363" t="s">
        <v>779</v>
      </c>
      <c r="E363" t="s">
        <v>26</v>
      </c>
      <c r="F363" s="1" t="s">
        <v>422</v>
      </c>
      <c r="G363" t="s">
        <v>423</v>
      </c>
      <c r="H363">
        <v>22412</v>
      </c>
      <c r="I363" s="2">
        <v>44562</v>
      </c>
      <c r="J363" s="2">
        <v>44926</v>
      </c>
      <c r="K363">
        <v>0</v>
      </c>
    </row>
    <row r="364" spans="1:11" x14ac:dyDescent="0.25">
      <c r="A364" t="str">
        <f>"90527884FC"</f>
        <v>90527884FC</v>
      </c>
      <c r="B364" t="str">
        <f t="shared" si="5"/>
        <v>06363391001</v>
      </c>
      <c r="C364" t="s">
        <v>16</v>
      </c>
      <c r="D364" t="s">
        <v>405</v>
      </c>
      <c r="E364" t="s">
        <v>56</v>
      </c>
      <c r="F364" s="1" t="s">
        <v>419</v>
      </c>
      <c r="G364" t="s">
        <v>420</v>
      </c>
      <c r="H364">
        <v>58000</v>
      </c>
      <c r="I364" s="2">
        <v>44562</v>
      </c>
      <c r="J364" s="2">
        <v>44926</v>
      </c>
      <c r="K364">
        <v>0</v>
      </c>
    </row>
    <row r="365" spans="1:11" x14ac:dyDescent="0.25">
      <c r="A365" t="str">
        <f>"Z8F3490D48"</f>
        <v>Z8F3490D48</v>
      </c>
      <c r="B365" t="str">
        <f t="shared" si="5"/>
        <v>06363391001</v>
      </c>
      <c r="C365" t="s">
        <v>16</v>
      </c>
      <c r="D365" t="s">
        <v>780</v>
      </c>
      <c r="E365" t="s">
        <v>18</v>
      </c>
      <c r="F365" s="1" t="s">
        <v>781</v>
      </c>
      <c r="G365" t="s">
        <v>782</v>
      </c>
      <c r="H365">
        <v>3718.4</v>
      </c>
      <c r="I365" s="2">
        <v>44552</v>
      </c>
      <c r="J365" s="2">
        <v>46378</v>
      </c>
      <c r="K365">
        <v>0</v>
      </c>
    </row>
    <row r="366" spans="1:11" x14ac:dyDescent="0.25">
      <c r="A366" t="str">
        <f>"Z50342D89C"</f>
        <v>Z50342D89C</v>
      </c>
      <c r="B366" t="str">
        <f t="shared" si="5"/>
        <v>06363391001</v>
      </c>
      <c r="C366" t="s">
        <v>16</v>
      </c>
      <c r="D366" t="s">
        <v>783</v>
      </c>
      <c r="E366" t="s">
        <v>26</v>
      </c>
      <c r="H366">
        <v>0</v>
      </c>
      <c r="K366">
        <v>0</v>
      </c>
    </row>
    <row r="367" spans="1:11" x14ac:dyDescent="0.25">
      <c r="A367" t="str">
        <f>"Z503487018"</f>
        <v>Z503487018</v>
      </c>
      <c r="B367" t="str">
        <f t="shared" si="5"/>
        <v>06363391001</v>
      </c>
      <c r="C367" t="s">
        <v>16</v>
      </c>
      <c r="D367" t="s">
        <v>784</v>
      </c>
      <c r="E367" t="s">
        <v>26</v>
      </c>
      <c r="H367">
        <v>0</v>
      </c>
      <c r="K367">
        <v>0</v>
      </c>
    </row>
    <row r="368" spans="1:11" x14ac:dyDescent="0.25">
      <c r="A368" t="str">
        <f>"8561881FB3"</f>
        <v>8561881FB3</v>
      </c>
      <c r="B368" t="str">
        <f t="shared" si="5"/>
        <v>06363391001</v>
      </c>
      <c r="C368" t="s">
        <v>16</v>
      </c>
      <c r="D368" t="s">
        <v>785</v>
      </c>
      <c r="E368" t="s">
        <v>26</v>
      </c>
      <c r="H368">
        <v>0</v>
      </c>
      <c r="K368">
        <v>0</v>
      </c>
    </row>
    <row r="369" spans="1:11" x14ac:dyDescent="0.25">
      <c r="A369" t="str">
        <f>"Z62340C42A"</f>
        <v>Z62340C42A</v>
      </c>
      <c r="B369" t="str">
        <f t="shared" si="5"/>
        <v>06363391001</v>
      </c>
      <c r="C369" t="s">
        <v>16</v>
      </c>
      <c r="D369" t="s">
        <v>786</v>
      </c>
      <c r="E369" t="s">
        <v>26</v>
      </c>
      <c r="F369" s="1" t="s">
        <v>572</v>
      </c>
      <c r="G369" t="s">
        <v>573</v>
      </c>
      <c r="H369">
        <v>9034.0499999999993</v>
      </c>
      <c r="I369" s="2">
        <v>44552</v>
      </c>
      <c r="J369" s="2">
        <v>44742</v>
      </c>
      <c r="K369">
        <v>0</v>
      </c>
    </row>
    <row r="370" spans="1:11" x14ac:dyDescent="0.25">
      <c r="A370" t="str">
        <f>"Z1034089C9"</f>
        <v>Z1034089C9</v>
      </c>
      <c r="B370" t="str">
        <f t="shared" si="5"/>
        <v>06363391001</v>
      </c>
      <c r="C370" t="s">
        <v>16</v>
      </c>
      <c r="D370" t="s">
        <v>787</v>
      </c>
      <c r="E370" t="s">
        <v>26</v>
      </c>
      <c r="F370" s="1" t="s">
        <v>788</v>
      </c>
      <c r="G370" t="s">
        <v>789</v>
      </c>
      <c r="H370">
        <v>2902.13</v>
      </c>
      <c r="I370" s="2">
        <v>44524</v>
      </c>
      <c r="K370">
        <v>0</v>
      </c>
    </row>
    <row r="371" spans="1:11" x14ac:dyDescent="0.25">
      <c r="A371" t="str">
        <f>"ZBF3493E7F"</f>
        <v>ZBF3493E7F</v>
      </c>
      <c r="B371" t="str">
        <f t="shared" si="5"/>
        <v>06363391001</v>
      </c>
      <c r="C371" t="s">
        <v>16</v>
      </c>
      <c r="D371" t="s">
        <v>790</v>
      </c>
      <c r="E371" t="s">
        <v>56</v>
      </c>
      <c r="H371">
        <v>0</v>
      </c>
      <c r="K371">
        <v>0</v>
      </c>
    </row>
    <row r="372" spans="1:11" x14ac:dyDescent="0.25">
      <c r="A372" t="str">
        <f>"ZBB306E8AE"</f>
        <v>ZBB306E8AE</v>
      </c>
      <c r="B372" t="str">
        <f t="shared" si="5"/>
        <v>06363391001</v>
      </c>
      <c r="C372" t="s">
        <v>16</v>
      </c>
      <c r="D372" t="s">
        <v>791</v>
      </c>
      <c r="E372" t="s">
        <v>26</v>
      </c>
      <c r="F372" s="1" t="s">
        <v>792</v>
      </c>
      <c r="G372" t="s">
        <v>793</v>
      </c>
      <c r="H372">
        <v>1600</v>
      </c>
      <c r="I372" s="2">
        <v>44218</v>
      </c>
      <c r="J372" s="2">
        <v>44377</v>
      </c>
      <c r="K372">
        <v>0</v>
      </c>
    </row>
    <row r="373" spans="1:11" x14ac:dyDescent="0.25">
      <c r="A373" t="str">
        <f>"ZC73490DAB"</f>
        <v>ZC73490DAB</v>
      </c>
      <c r="B373" t="str">
        <f t="shared" si="5"/>
        <v>06363391001</v>
      </c>
      <c r="C373" t="s">
        <v>16</v>
      </c>
      <c r="D373" t="s">
        <v>794</v>
      </c>
      <c r="E373" t="s">
        <v>26</v>
      </c>
      <c r="H373">
        <v>0</v>
      </c>
      <c r="K373">
        <v>0</v>
      </c>
    </row>
    <row r="374" spans="1:11" x14ac:dyDescent="0.25">
      <c r="A374" t="str">
        <f>"89740303D4"</f>
        <v>89740303D4</v>
      </c>
      <c r="B374" t="str">
        <f t="shared" si="5"/>
        <v>06363391001</v>
      </c>
      <c r="C374" t="s">
        <v>16</v>
      </c>
      <c r="D374" t="s">
        <v>795</v>
      </c>
      <c r="E374" t="s">
        <v>63</v>
      </c>
      <c r="H374">
        <v>0</v>
      </c>
      <c r="K374">
        <v>0</v>
      </c>
    </row>
    <row r="375" spans="1:11" x14ac:dyDescent="0.25">
      <c r="A375" t="str">
        <f>"89740368C6"</f>
        <v>89740368C6</v>
      </c>
      <c r="B375" t="str">
        <f t="shared" si="5"/>
        <v>06363391001</v>
      </c>
      <c r="C375" t="s">
        <v>16</v>
      </c>
      <c r="D375" t="s">
        <v>796</v>
      </c>
      <c r="E375" t="s">
        <v>63</v>
      </c>
      <c r="H375">
        <v>0</v>
      </c>
      <c r="K375">
        <v>0</v>
      </c>
    </row>
    <row r="376" spans="1:11" x14ac:dyDescent="0.25">
      <c r="A376" t="str">
        <f>"8974041CE5"</f>
        <v>8974041CE5</v>
      </c>
      <c r="B376" t="str">
        <f t="shared" si="5"/>
        <v>06363391001</v>
      </c>
      <c r="C376" t="s">
        <v>16</v>
      </c>
      <c r="D376" t="s">
        <v>797</v>
      </c>
      <c r="E376" t="s">
        <v>63</v>
      </c>
      <c r="H376">
        <v>0</v>
      </c>
      <c r="K376">
        <v>0</v>
      </c>
    </row>
    <row r="377" spans="1:11" x14ac:dyDescent="0.25">
      <c r="A377" t="str">
        <f>"8974050455"</f>
        <v>8974050455</v>
      </c>
      <c r="B377" t="str">
        <f t="shared" si="5"/>
        <v>06363391001</v>
      </c>
      <c r="C377" t="s">
        <v>16</v>
      </c>
      <c r="D377" t="s">
        <v>798</v>
      </c>
      <c r="E377" t="s">
        <v>63</v>
      </c>
      <c r="H377">
        <v>0</v>
      </c>
      <c r="K377">
        <v>0</v>
      </c>
    </row>
    <row r="378" spans="1:11" x14ac:dyDescent="0.25">
      <c r="A378" t="str">
        <f>"8974059BC0"</f>
        <v>8974059BC0</v>
      </c>
      <c r="B378" t="str">
        <f t="shared" si="5"/>
        <v>06363391001</v>
      </c>
      <c r="C378" t="s">
        <v>16</v>
      </c>
      <c r="D378" t="s">
        <v>799</v>
      </c>
      <c r="E378" t="s">
        <v>63</v>
      </c>
      <c r="H378">
        <v>0</v>
      </c>
      <c r="K378">
        <v>0</v>
      </c>
    </row>
    <row r="379" spans="1:11" x14ac:dyDescent="0.25">
      <c r="A379" t="str">
        <f>"89740650B7"</f>
        <v>89740650B7</v>
      </c>
      <c r="B379" t="str">
        <f t="shared" si="5"/>
        <v>06363391001</v>
      </c>
      <c r="C379" t="s">
        <v>16</v>
      </c>
      <c r="D379" t="s">
        <v>800</v>
      </c>
      <c r="E379" t="s">
        <v>63</v>
      </c>
      <c r="H379">
        <v>0</v>
      </c>
      <c r="K379">
        <v>0</v>
      </c>
    </row>
    <row r="380" spans="1:11" x14ac:dyDescent="0.25">
      <c r="A380" t="str">
        <f>"897407267C"</f>
        <v>897407267C</v>
      </c>
      <c r="B380" t="str">
        <f t="shared" si="5"/>
        <v>06363391001</v>
      </c>
      <c r="C380" t="s">
        <v>16</v>
      </c>
      <c r="D380" t="s">
        <v>801</v>
      </c>
      <c r="E380" t="s">
        <v>63</v>
      </c>
      <c r="H380">
        <v>0</v>
      </c>
      <c r="K380">
        <v>0</v>
      </c>
    </row>
    <row r="381" spans="1:11" x14ac:dyDescent="0.25">
      <c r="A381" t="str">
        <f>"8974077A9B"</f>
        <v>8974077A9B</v>
      </c>
      <c r="B381" t="str">
        <f t="shared" si="5"/>
        <v>06363391001</v>
      </c>
      <c r="C381" t="s">
        <v>16</v>
      </c>
      <c r="D381" t="s">
        <v>802</v>
      </c>
      <c r="E381" t="s">
        <v>63</v>
      </c>
      <c r="H381">
        <v>0</v>
      </c>
      <c r="K381">
        <v>0</v>
      </c>
    </row>
    <row r="382" spans="1:11" x14ac:dyDescent="0.25">
      <c r="A382" t="str">
        <f>"8974085138"</f>
        <v>8974085138</v>
      </c>
      <c r="B382" t="str">
        <f t="shared" si="5"/>
        <v>06363391001</v>
      </c>
      <c r="C382" t="s">
        <v>16</v>
      </c>
      <c r="D382" t="s">
        <v>803</v>
      </c>
      <c r="E382" t="s">
        <v>63</v>
      </c>
      <c r="H382">
        <v>0</v>
      </c>
      <c r="K382">
        <v>0</v>
      </c>
    </row>
    <row r="383" spans="1:11" x14ac:dyDescent="0.25">
      <c r="A383" t="str">
        <f>"8974096A49"</f>
        <v>8974096A49</v>
      </c>
      <c r="B383" t="str">
        <f t="shared" si="5"/>
        <v>06363391001</v>
      </c>
      <c r="C383" t="s">
        <v>16</v>
      </c>
      <c r="D383" t="s">
        <v>804</v>
      </c>
      <c r="E383" t="s">
        <v>63</v>
      </c>
      <c r="H383">
        <v>0</v>
      </c>
      <c r="K383">
        <v>0</v>
      </c>
    </row>
    <row r="384" spans="1:11" x14ac:dyDescent="0.25">
      <c r="A384" t="str">
        <f>"89741040E6"</f>
        <v>89741040E6</v>
      </c>
      <c r="B384" t="str">
        <f t="shared" si="5"/>
        <v>06363391001</v>
      </c>
      <c r="C384" t="s">
        <v>16</v>
      </c>
      <c r="D384" t="s">
        <v>805</v>
      </c>
      <c r="E384" t="s">
        <v>63</v>
      </c>
      <c r="H384">
        <v>0</v>
      </c>
      <c r="K384">
        <v>0</v>
      </c>
    </row>
    <row r="385" spans="1:11" x14ac:dyDescent="0.25">
      <c r="A385" t="str">
        <f>"89741105D8"</f>
        <v>89741105D8</v>
      </c>
      <c r="B385" t="str">
        <f t="shared" si="5"/>
        <v>06363391001</v>
      </c>
      <c r="C385" t="s">
        <v>16</v>
      </c>
      <c r="D385" t="s">
        <v>806</v>
      </c>
      <c r="E385" t="s">
        <v>63</v>
      </c>
      <c r="H385">
        <v>0</v>
      </c>
      <c r="K385">
        <v>0</v>
      </c>
    </row>
    <row r="386" spans="1:11" x14ac:dyDescent="0.25">
      <c r="A386" t="str">
        <f>"8974121EE9"</f>
        <v>8974121EE9</v>
      </c>
      <c r="B386" t="str">
        <f t="shared" si="5"/>
        <v>06363391001</v>
      </c>
      <c r="C386" t="s">
        <v>16</v>
      </c>
      <c r="D386" t="s">
        <v>807</v>
      </c>
      <c r="E386" t="s">
        <v>63</v>
      </c>
      <c r="H386">
        <v>0</v>
      </c>
      <c r="K386">
        <v>0</v>
      </c>
    </row>
    <row r="387" spans="1:11" x14ac:dyDescent="0.25">
      <c r="A387" t="str">
        <f>"897413172C"</f>
        <v>897413172C</v>
      </c>
      <c r="B387" t="str">
        <f t="shared" ref="B387:B421" si="6">"06363391001"</f>
        <v>06363391001</v>
      </c>
      <c r="C387" t="s">
        <v>16</v>
      </c>
      <c r="D387" t="s">
        <v>808</v>
      </c>
      <c r="E387" t="s">
        <v>63</v>
      </c>
      <c r="H387">
        <v>0</v>
      </c>
      <c r="K387">
        <v>0</v>
      </c>
    </row>
    <row r="388" spans="1:11" x14ac:dyDescent="0.25">
      <c r="A388" t="str">
        <f>"8974136B4B"</f>
        <v>8974136B4B</v>
      </c>
      <c r="B388" t="str">
        <f t="shared" si="6"/>
        <v>06363391001</v>
      </c>
      <c r="C388" t="s">
        <v>16</v>
      </c>
      <c r="D388" t="s">
        <v>809</v>
      </c>
      <c r="E388" t="s">
        <v>63</v>
      </c>
      <c r="H388">
        <v>0</v>
      </c>
      <c r="K388">
        <v>0</v>
      </c>
    </row>
    <row r="389" spans="1:11" x14ac:dyDescent="0.25">
      <c r="A389" t="str">
        <f>"89741441E8"</f>
        <v>89741441E8</v>
      </c>
      <c r="B389" t="str">
        <f t="shared" si="6"/>
        <v>06363391001</v>
      </c>
      <c r="C389" t="s">
        <v>16</v>
      </c>
      <c r="D389" t="s">
        <v>810</v>
      </c>
      <c r="E389" t="s">
        <v>63</v>
      </c>
      <c r="H389">
        <v>0</v>
      </c>
      <c r="K389">
        <v>0</v>
      </c>
    </row>
    <row r="390" spans="1:11" x14ac:dyDescent="0.25">
      <c r="A390" t="str">
        <f>"8974154A26"</f>
        <v>8974154A26</v>
      </c>
      <c r="B390" t="str">
        <f t="shared" si="6"/>
        <v>06363391001</v>
      </c>
      <c r="C390" t="s">
        <v>16</v>
      </c>
      <c r="D390" t="s">
        <v>811</v>
      </c>
      <c r="E390" t="s">
        <v>63</v>
      </c>
      <c r="H390">
        <v>0</v>
      </c>
      <c r="K390">
        <v>0</v>
      </c>
    </row>
    <row r="391" spans="1:11" x14ac:dyDescent="0.25">
      <c r="A391" t="str">
        <f>"8934171723"</f>
        <v>8934171723</v>
      </c>
      <c r="B391" t="str">
        <f t="shared" si="6"/>
        <v>06363391001</v>
      </c>
      <c r="C391" t="s">
        <v>16</v>
      </c>
      <c r="D391" t="s">
        <v>410</v>
      </c>
      <c r="E391" t="s">
        <v>18</v>
      </c>
      <c r="F391" s="1" t="s">
        <v>411</v>
      </c>
      <c r="G391" t="s">
        <v>412</v>
      </c>
      <c r="H391">
        <v>5000</v>
      </c>
      <c r="I391" s="2">
        <v>44480</v>
      </c>
      <c r="J391" s="2">
        <v>44496</v>
      </c>
      <c r="K391">
        <v>0</v>
      </c>
    </row>
    <row r="392" spans="1:11" x14ac:dyDescent="0.25">
      <c r="A392" t="str">
        <f>"8822127980"</f>
        <v>8822127980</v>
      </c>
      <c r="B392" t="str">
        <f t="shared" si="6"/>
        <v>06363391001</v>
      </c>
      <c r="C392" t="s">
        <v>16</v>
      </c>
      <c r="D392" t="s">
        <v>812</v>
      </c>
      <c r="E392" t="s">
        <v>63</v>
      </c>
      <c r="H392">
        <v>0</v>
      </c>
      <c r="K392">
        <v>0</v>
      </c>
    </row>
    <row r="393" spans="1:11" x14ac:dyDescent="0.25">
      <c r="A393" t="str">
        <f>"8822130BF9"</f>
        <v>8822130BF9</v>
      </c>
      <c r="B393" t="str">
        <f t="shared" si="6"/>
        <v>06363391001</v>
      </c>
      <c r="C393" t="s">
        <v>16</v>
      </c>
      <c r="D393" t="s">
        <v>813</v>
      </c>
      <c r="E393" t="s">
        <v>63</v>
      </c>
      <c r="H393">
        <v>0</v>
      </c>
      <c r="K393">
        <v>0</v>
      </c>
    </row>
    <row r="394" spans="1:11" x14ac:dyDescent="0.25">
      <c r="A394" t="str">
        <f>"88221360F0"</f>
        <v>88221360F0</v>
      </c>
      <c r="B394" t="str">
        <f t="shared" si="6"/>
        <v>06363391001</v>
      </c>
      <c r="C394" t="s">
        <v>16</v>
      </c>
      <c r="D394" t="s">
        <v>814</v>
      </c>
      <c r="E394" t="s">
        <v>63</v>
      </c>
      <c r="H394">
        <v>0</v>
      </c>
      <c r="K394">
        <v>0</v>
      </c>
    </row>
    <row r="395" spans="1:11" x14ac:dyDescent="0.25">
      <c r="A395" t="str">
        <f>"88221593EA"</f>
        <v>88221593EA</v>
      </c>
      <c r="B395" t="str">
        <f t="shared" si="6"/>
        <v>06363391001</v>
      </c>
      <c r="C395" t="s">
        <v>16</v>
      </c>
      <c r="D395" t="s">
        <v>815</v>
      </c>
      <c r="E395" t="s">
        <v>63</v>
      </c>
      <c r="H395">
        <v>0</v>
      </c>
      <c r="K395">
        <v>0</v>
      </c>
    </row>
    <row r="396" spans="1:11" x14ac:dyDescent="0.25">
      <c r="A396" t="str">
        <f>"88221772C5"</f>
        <v>88221772C5</v>
      </c>
      <c r="B396" t="str">
        <f t="shared" si="6"/>
        <v>06363391001</v>
      </c>
      <c r="C396" t="s">
        <v>16</v>
      </c>
      <c r="D396" t="s">
        <v>816</v>
      </c>
      <c r="E396" t="s">
        <v>63</v>
      </c>
      <c r="H396">
        <v>0</v>
      </c>
      <c r="K396">
        <v>0</v>
      </c>
    </row>
    <row r="397" spans="1:11" x14ac:dyDescent="0.25">
      <c r="A397" t="str">
        <f>"88221826E4"</f>
        <v>88221826E4</v>
      </c>
      <c r="B397" t="str">
        <f t="shared" si="6"/>
        <v>06363391001</v>
      </c>
      <c r="C397" t="s">
        <v>16</v>
      </c>
      <c r="D397" t="s">
        <v>817</v>
      </c>
      <c r="E397" t="s">
        <v>63</v>
      </c>
      <c r="H397">
        <v>0</v>
      </c>
      <c r="K397">
        <v>0</v>
      </c>
    </row>
    <row r="398" spans="1:11" x14ac:dyDescent="0.25">
      <c r="A398" t="str">
        <f>"8822193FF5"</f>
        <v>8822193FF5</v>
      </c>
      <c r="B398" t="str">
        <f t="shared" si="6"/>
        <v>06363391001</v>
      </c>
      <c r="C398" t="s">
        <v>16</v>
      </c>
      <c r="D398" t="s">
        <v>818</v>
      </c>
      <c r="E398" t="s">
        <v>63</v>
      </c>
      <c r="H398">
        <v>0</v>
      </c>
      <c r="K398">
        <v>0</v>
      </c>
    </row>
    <row r="399" spans="1:11" x14ac:dyDescent="0.25">
      <c r="A399" t="str">
        <f>"88222005BF"</f>
        <v>88222005BF</v>
      </c>
      <c r="B399" t="str">
        <f t="shared" si="6"/>
        <v>06363391001</v>
      </c>
      <c r="C399" t="s">
        <v>16</v>
      </c>
      <c r="D399" t="s">
        <v>819</v>
      </c>
      <c r="E399" t="s">
        <v>63</v>
      </c>
      <c r="H399">
        <v>0</v>
      </c>
      <c r="K399">
        <v>0</v>
      </c>
    </row>
    <row r="400" spans="1:11" x14ac:dyDescent="0.25">
      <c r="A400" t="str">
        <f>"8822208C57"</f>
        <v>8822208C57</v>
      </c>
      <c r="B400" t="str">
        <f t="shared" si="6"/>
        <v>06363391001</v>
      </c>
      <c r="C400" t="s">
        <v>16</v>
      </c>
      <c r="D400" t="s">
        <v>820</v>
      </c>
      <c r="E400" t="s">
        <v>63</v>
      </c>
      <c r="H400">
        <v>0</v>
      </c>
      <c r="K400">
        <v>0</v>
      </c>
    </row>
    <row r="401" spans="1:11" x14ac:dyDescent="0.25">
      <c r="A401" t="str">
        <f>"8822215221"</f>
        <v>8822215221</v>
      </c>
      <c r="B401" t="str">
        <f t="shared" si="6"/>
        <v>06363391001</v>
      </c>
      <c r="C401" t="s">
        <v>16</v>
      </c>
      <c r="D401" t="s">
        <v>821</v>
      </c>
      <c r="E401" t="s">
        <v>63</v>
      </c>
      <c r="H401">
        <v>0</v>
      </c>
      <c r="K401">
        <v>0</v>
      </c>
    </row>
    <row r="402" spans="1:11" x14ac:dyDescent="0.25">
      <c r="A402" t="str">
        <f>"882222498C"</f>
        <v>882222498C</v>
      </c>
      <c r="B402" t="str">
        <f t="shared" si="6"/>
        <v>06363391001</v>
      </c>
      <c r="C402" t="s">
        <v>16</v>
      </c>
      <c r="D402" t="s">
        <v>822</v>
      </c>
      <c r="E402" t="s">
        <v>63</v>
      </c>
      <c r="H402">
        <v>0</v>
      </c>
      <c r="K402">
        <v>0</v>
      </c>
    </row>
    <row r="403" spans="1:11" x14ac:dyDescent="0.25">
      <c r="A403" t="str">
        <f>"8822228CD8"</f>
        <v>8822228CD8</v>
      </c>
      <c r="B403" t="str">
        <f t="shared" si="6"/>
        <v>06363391001</v>
      </c>
      <c r="C403" t="s">
        <v>16</v>
      </c>
      <c r="D403" t="s">
        <v>823</v>
      </c>
      <c r="E403" t="s">
        <v>63</v>
      </c>
      <c r="H403">
        <v>0</v>
      </c>
      <c r="K403">
        <v>0</v>
      </c>
    </row>
    <row r="404" spans="1:11" x14ac:dyDescent="0.25">
      <c r="A404" t="str">
        <f>"8822236375"</f>
        <v>8822236375</v>
      </c>
      <c r="B404" t="str">
        <f t="shared" si="6"/>
        <v>06363391001</v>
      </c>
      <c r="C404" t="s">
        <v>16</v>
      </c>
      <c r="D404" t="s">
        <v>824</v>
      </c>
      <c r="E404" t="s">
        <v>63</v>
      </c>
      <c r="H404">
        <v>0</v>
      </c>
      <c r="K404">
        <v>0</v>
      </c>
    </row>
    <row r="405" spans="1:11" x14ac:dyDescent="0.25">
      <c r="A405" t="str">
        <f>"8822244A0D"</f>
        <v>8822244A0D</v>
      </c>
      <c r="B405" t="str">
        <f t="shared" si="6"/>
        <v>06363391001</v>
      </c>
      <c r="C405" t="s">
        <v>16</v>
      </c>
      <c r="D405" t="s">
        <v>825</v>
      </c>
      <c r="E405" t="s">
        <v>63</v>
      </c>
      <c r="H405">
        <v>0</v>
      </c>
      <c r="K405">
        <v>0</v>
      </c>
    </row>
    <row r="406" spans="1:11" x14ac:dyDescent="0.25">
      <c r="A406" t="str">
        <f>"88144423A5"</f>
        <v>88144423A5</v>
      </c>
      <c r="B406" t="str">
        <f t="shared" si="6"/>
        <v>06363391001</v>
      </c>
      <c r="C406" t="s">
        <v>16</v>
      </c>
      <c r="D406" t="s">
        <v>826</v>
      </c>
      <c r="E406" t="s">
        <v>18</v>
      </c>
      <c r="F406" s="1" t="s">
        <v>827</v>
      </c>
      <c r="G406" t="s">
        <v>828</v>
      </c>
      <c r="H406">
        <v>142740.37</v>
      </c>
      <c r="I406" s="2">
        <v>44377</v>
      </c>
      <c r="J406" s="2">
        <v>45107</v>
      </c>
      <c r="K406">
        <v>0</v>
      </c>
    </row>
    <row r="407" spans="1:11" x14ac:dyDescent="0.25">
      <c r="A407" t="str">
        <f>"873876944F"</f>
        <v>873876944F</v>
      </c>
      <c r="B407" t="str">
        <f t="shared" si="6"/>
        <v>06363391001</v>
      </c>
      <c r="C407" t="s">
        <v>16</v>
      </c>
      <c r="D407" t="s">
        <v>829</v>
      </c>
      <c r="E407" t="s">
        <v>242</v>
      </c>
      <c r="H407">
        <v>0</v>
      </c>
      <c r="K407">
        <v>0</v>
      </c>
    </row>
    <row r="408" spans="1:11" x14ac:dyDescent="0.25">
      <c r="A408" t="str">
        <f>"8738770522"</f>
        <v>8738770522</v>
      </c>
      <c r="B408" t="str">
        <f t="shared" si="6"/>
        <v>06363391001</v>
      </c>
      <c r="C408" t="s">
        <v>16</v>
      </c>
      <c r="D408" t="s">
        <v>830</v>
      </c>
      <c r="E408" t="s">
        <v>242</v>
      </c>
      <c r="H408">
        <v>0</v>
      </c>
      <c r="K408">
        <v>0</v>
      </c>
    </row>
    <row r="409" spans="1:11" x14ac:dyDescent="0.25">
      <c r="A409" t="str">
        <f>"87387715F5"</f>
        <v>87387715F5</v>
      </c>
      <c r="B409" t="str">
        <f t="shared" si="6"/>
        <v>06363391001</v>
      </c>
      <c r="C409" t="s">
        <v>16</v>
      </c>
      <c r="D409" t="s">
        <v>831</v>
      </c>
      <c r="E409" t="s">
        <v>242</v>
      </c>
      <c r="H409">
        <v>0</v>
      </c>
      <c r="K409">
        <v>0</v>
      </c>
    </row>
    <row r="410" spans="1:11" x14ac:dyDescent="0.25">
      <c r="A410" t="str">
        <f>"873877379B"</f>
        <v>873877379B</v>
      </c>
      <c r="B410" t="str">
        <f t="shared" si="6"/>
        <v>06363391001</v>
      </c>
      <c r="C410" t="s">
        <v>16</v>
      </c>
      <c r="D410" t="s">
        <v>832</v>
      </c>
      <c r="E410" t="s">
        <v>242</v>
      </c>
      <c r="H410">
        <v>0</v>
      </c>
      <c r="K410">
        <v>0</v>
      </c>
    </row>
    <row r="411" spans="1:11" x14ac:dyDescent="0.25">
      <c r="A411" t="str">
        <f>"87387726C8"</f>
        <v>87387726C8</v>
      </c>
      <c r="B411" t="str">
        <f t="shared" si="6"/>
        <v>06363391001</v>
      </c>
      <c r="C411" t="s">
        <v>16</v>
      </c>
      <c r="D411" t="s">
        <v>833</v>
      </c>
      <c r="E411" t="s">
        <v>242</v>
      </c>
      <c r="H411">
        <v>0</v>
      </c>
      <c r="K411">
        <v>0</v>
      </c>
    </row>
    <row r="412" spans="1:11" x14ac:dyDescent="0.25">
      <c r="A412" t="str">
        <f>"873877486E"</f>
        <v>873877486E</v>
      </c>
      <c r="B412" t="str">
        <f t="shared" si="6"/>
        <v>06363391001</v>
      </c>
      <c r="C412" t="s">
        <v>16</v>
      </c>
      <c r="D412" t="s">
        <v>834</v>
      </c>
      <c r="E412" t="s">
        <v>242</v>
      </c>
      <c r="H412">
        <v>0</v>
      </c>
      <c r="K412">
        <v>0</v>
      </c>
    </row>
    <row r="413" spans="1:11" x14ac:dyDescent="0.25">
      <c r="A413" t="str">
        <f>"8738776A14"</f>
        <v>8738776A14</v>
      </c>
      <c r="B413" t="str">
        <f t="shared" si="6"/>
        <v>06363391001</v>
      </c>
      <c r="C413" t="s">
        <v>16</v>
      </c>
      <c r="D413" t="s">
        <v>835</v>
      </c>
      <c r="E413" t="s">
        <v>242</v>
      </c>
      <c r="H413">
        <v>0</v>
      </c>
      <c r="K413">
        <v>0</v>
      </c>
    </row>
    <row r="414" spans="1:11" x14ac:dyDescent="0.25">
      <c r="A414" t="str">
        <f>"8738777AE7"</f>
        <v>8738777AE7</v>
      </c>
      <c r="B414" t="str">
        <f t="shared" si="6"/>
        <v>06363391001</v>
      </c>
      <c r="C414" t="s">
        <v>16</v>
      </c>
      <c r="D414" t="s">
        <v>836</v>
      </c>
      <c r="E414" t="s">
        <v>242</v>
      </c>
      <c r="H414">
        <v>0</v>
      </c>
      <c r="K414">
        <v>0</v>
      </c>
    </row>
    <row r="415" spans="1:11" x14ac:dyDescent="0.25">
      <c r="A415" t="str">
        <f>"8941395094"</f>
        <v>8941395094</v>
      </c>
      <c r="B415" t="str">
        <f t="shared" si="6"/>
        <v>06363391001</v>
      </c>
      <c r="C415" t="s">
        <v>16</v>
      </c>
      <c r="D415" t="s">
        <v>410</v>
      </c>
      <c r="E415" t="s">
        <v>18</v>
      </c>
      <c r="F415" s="1" t="s">
        <v>413</v>
      </c>
      <c r="G415" t="s">
        <v>414</v>
      </c>
      <c r="H415">
        <v>2630.4</v>
      </c>
      <c r="I415" s="2">
        <v>44483</v>
      </c>
      <c r="J415" s="2">
        <v>44498</v>
      </c>
      <c r="K415">
        <v>2630.4</v>
      </c>
    </row>
    <row r="416" spans="1:11" x14ac:dyDescent="0.25">
      <c r="A416" t="str">
        <f>"8802542773"</f>
        <v>8802542773</v>
      </c>
      <c r="B416" t="str">
        <f t="shared" si="6"/>
        <v>06363391001</v>
      </c>
      <c r="C416" t="s">
        <v>16</v>
      </c>
      <c r="D416" t="s">
        <v>837</v>
      </c>
      <c r="E416" t="s">
        <v>838</v>
      </c>
      <c r="F416" s="1" t="s">
        <v>366</v>
      </c>
      <c r="G416" t="s">
        <v>364</v>
      </c>
      <c r="H416">
        <v>113182.29</v>
      </c>
      <c r="I416" s="2">
        <v>44294</v>
      </c>
      <c r="J416" s="2">
        <v>44477</v>
      </c>
      <c r="K416">
        <v>0</v>
      </c>
    </row>
    <row r="417" spans="1:11" x14ac:dyDescent="0.25">
      <c r="A417" t="str">
        <f>"8802542773"</f>
        <v>8802542773</v>
      </c>
      <c r="B417" t="str">
        <f t="shared" si="6"/>
        <v>06363391001</v>
      </c>
      <c r="C417" t="s">
        <v>16</v>
      </c>
      <c r="D417" t="s">
        <v>837</v>
      </c>
      <c r="E417" t="s">
        <v>838</v>
      </c>
      <c r="F417" s="1" t="s">
        <v>367</v>
      </c>
      <c r="G417" t="s">
        <v>368</v>
      </c>
      <c r="H417">
        <v>93389</v>
      </c>
      <c r="I417" s="2">
        <v>44294</v>
      </c>
      <c r="J417" s="2">
        <v>44476</v>
      </c>
      <c r="K417">
        <v>0</v>
      </c>
    </row>
    <row r="418" spans="1:11" x14ac:dyDescent="0.25">
      <c r="A418" t="str">
        <f>"8802542773"</f>
        <v>8802542773</v>
      </c>
      <c r="B418" t="str">
        <f t="shared" si="6"/>
        <v>06363391001</v>
      </c>
      <c r="C418" t="s">
        <v>16</v>
      </c>
      <c r="D418" t="s">
        <v>837</v>
      </c>
      <c r="E418" t="s">
        <v>838</v>
      </c>
      <c r="F418" s="1" t="s">
        <v>369</v>
      </c>
      <c r="G418" t="s">
        <v>370</v>
      </c>
      <c r="H418">
        <v>76408.84</v>
      </c>
      <c r="I418" s="2">
        <v>44294</v>
      </c>
      <c r="J418" s="2">
        <v>44477</v>
      </c>
      <c r="K418">
        <v>0</v>
      </c>
    </row>
    <row r="419" spans="1:11" x14ac:dyDescent="0.25">
      <c r="A419" t="str">
        <f>"88475014CB"</f>
        <v>88475014CB</v>
      </c>
      <c r="B419" t="str">
        <f t="shared" si="6"/>
        <v>06363391001</v>
      </c>
      <c r="C419" t="s">
        <v>16</v>
      </c>
      <c r="D419" t="s">
        <v>839</v>
      </c>
      <c r="E419" t="s">
        <v>56</v>
      </c>
      <c r="F419" s="1" t="s">
        <v>411</v>
      </c>
      <c r="G419" t="s">
        <v>412</v>
      </c>
      <c r="H419">
        <v>108666</v>
      </c>
      <c r="I419" s="2">
        <v>44385</v>
      </c>
      <c r="J419" s="2">
        <v>44569</v>
      </c>
      <c r="K419">
        <v>0</v>
      </c>
    </row>
    <row r="420" spans="1:11" x14ac:dyDescent="0.25">
      <c r="A420" t="str">
        <f>"88475014CB"</f>
        <v>88475014CB</v>
      </c>
      <c r="B420" t="str">
        <f t="shared" si="6"/>
        <v>06363391001</v>
      </c>
      <c r="C420" t="s">
        <v>16</v>
      </c>
      <c r="D420" t="s">
        <v>840</v>
      </c>
      <c r="E420" t="s">
        <v>56</v>
      </c>
      <c r="F420" s="1" t="s">
        <v>413</v>
      </c>
      <c r="G420" t="s">
        <v>414</v>
      </c>
      <c r="H420">
        <v>89650</v>
      </c>
      <c r="I420" s="2">
        <v>44385</v>
      </c>
      <c r="J420" s="2">
        <v>44569</v>
      </c>
      <c r="K420">
        <v>0</v>
      </c>
    </row>
    <row r="421" spans="1:11" x14ac:dyDescent="0.25">
      <c r="A421" t="str">
        <f>"88475014CB"</f>
        <v>88475014CB</v>
      </c>
      <c r="B421" t="str">
        <f t="shared" si="6"/>
        <v>06363391001</v>
      </c>
      <c r="C421" t="s">
        <v>16</v>
      </c>
      <c r="D421" t="s">
        <v>841</v>
      </c>
      <c r="E421" t="s">
        <v>56</v>
      </c>
      <c r="F421" s="1" t="s">
        <v>663</v>
      </c>
      <c r="G421" t="s">
        <v>455</v>
      </c>
      <c r="H421">
        <v>73350</v>
      </c>
      <c r="I421" s="2">
        <v>44385</v>
      </c>
      <c r="J421" s="2">
        <v>44569</v>
      </c>
      <c r="K42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direzionicentrali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2022-01-27T14:14:15Z</dcterms:created>
  <dcterms:modified xsi:type="dcterms:W3CDTF">2022-01-27T14:14:15Z</dcterms:modified>
</cp:coreProperties>
</file>